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 defaultThemeVersion="124226"/>
  <bookViews>
    <workbookView xWindow="285" yWindow="90" windowWidth="20730" windowHeight="11535" activeTab="2"/>
  </bookViews>
  <sheets>
    <sheet name="Setup" sheetId="1" r:id="rId1"/>
    <sheet name="DrawPrep" sheetId="2" r:id="rId2"/>
    <sheet name="Draw" sheetId="3" r:id="rId3"/>
    <sheet name="PrgPrep" sheetId="6" r:id="rId4"/>
    <sheet name="Day1" sheetId="7" r:id="rId5"/>
    <sheet name="Day2" sheetId="13" r:id="rId6"/>
    <sheet name="notes" sheetId="9" r:id="rId7"/>
    <sheet name="tmp" sheetId="4" r:id="rId8"/>
  </sheets>
  <definedNames>
    <definedName name="_xlnm._FilterDatabase" localSheetId="2" hidden="1">Draw!$A$4:$S$35</definedName>
    <definedName name="_xlnm.Print_Area" localSheetId="2">Draw!$A$1:$T$68</definedName>
  </definedNames>
  <calcPr calcId="125725" iterate="1"/>
</workbook>
</file>

<file path=xl/calcChain.xml><?xml version="1.0" encoding="utf-8"?>
<calcChain xmlns="http://schemas.openxmlformats.org/spreadsheetml/2006/main">
  <c r="A2" i="13"/>
  <c r="A1"/>
  <c r="A2" i="7" l="1"/>
  <c r="A1"/>
  <c r="A1" i="6" l="1"/>
  <c r="B5" i="4" l="1"/>
  <c r="B4"/>
  <c r="B3"/>
  <c r="A1" i="3" l="1"/>
  <c r="J1" i="2"/>
  <c r="A1"/>
  <c r="B18" i="1" l="1"/>
  <c r="B17"/>
  <c r="K4" i="2" l="1"/>
  <c r="K5"/>
  <c r="K9"/>
  <c r="K10"/>
  <c r="K11"/>
  <c r="K13"/>
  <c r="K12"/>
  <c r="K21"/>
  <c r="K19"/>
  <c r="K20"/>
  <c r="K23"/>
  <c r="K24"/>
  <c r="K32"/>
  <c r="K33"/>
  <c r="K6"/>
  <c r="K7"/>
  <c r="K8"/>
  <c r="K14"/>
  <c r="K15"/>
  <c r="K16"/>
  <c r="K18"/>
  <c r="K17"/>
  <c r="K22"/>
  <c r="K25"/>
  <c r="K26"/>
  <c r="K28"/>
  <c r="K29"/>
  <c r="K27"/>
  <c r="K30"/>
  <c r="K31"/>
  <c r="K34"/>
  <c r="K3"/>
  <c r="L10" i="3" l="1"/>
  <c r="L9"/>
  <c r="H105"/>
  <c r="H104"/>
  <c r="H103"/>
  <c r="H102"/>
  <c r="T66"/>
  <c r="T65"/>
  <c r="T64"/>
  <c r="T63"/>
  <c r="T62"/>
  <c r="T61"/>
  <c r="H101"/>
  <c r="H100"/>
  <c r="H99"/>
  <c r="H98"/>
  <c r="H97"/>
  <c r="H96"/>
  <c r="H95"/>
  <c r="H94"/>
  <c r="H93"/>
  <c r="H92"/>
  <c r="H90"/>
  <c r="H91"/>
  <c r="B2" l="1"/>
  <c r="E7" s="1"/>
  <c r="D7" s="1"/>
  <c r="E5" i="1"/>
  <c r="C17" i="3" s="1"/>
  <c r="E2" i="1"/>
  <c r="C23" i="3" s="1"/>
  <c r="E6" i="1"/>
  <c r="C33" i="3" s="1"/>
  <c r="E7" i="1"/>
  <c r="C39" i="3" s="1"/>
  <c r="E3" i="1"/>
  <c r="C49" i="3" s="1"/>
  <c r="E8" i="1"/>
  <c r="C55" i="3" s="1"/>
  <c r="L41"/>
  <c r="L42"/>
  <c r="L45"/>
  <c r="L46"/>
  <c r="B53"/>
  <c r="F53" s="1"/>
  <c r="L57"/>
  <c r="L58"/>
  <c r="L61"/>
  <c r="L62"/>
  <c r="E26" i="6"/>
  <c r="F5" i="3"/>
  <c r="L29"/>
  <c r="L30"/>
  <c r="B33" i="6"/>
  <c r="B32"/>
  <c r="B31"/>
  <c r="B30"/>
  <c r="B51" i="3"/>
  <c r="F51" s="1"/>
  <c r="F67"/>
  <c r="B35"/>
  <c r="F35" s="1"/>
  <c r="B20" i="6"/>
  <c r="B19"/>
  <c r="B18"/>
  <c r="B17"/>
  <c r="B16"/>
  <c r="B15"/>
  <c r="B14"/>
  <c r="B13"/>
  <c r="N64" i="3"/>
  <c r="P60"/>
  <c r="R52"/>
  <c r="N63"/>
  <c r="P59"/>
  <c r="R51"/>
  <c r="N48"/>
  <c r="P44"/>
  <c r="N47"/>
  <c r="P43"/>
  <c r="T59"/>
  <c r="T60"/>
  <c r="A2" i="6"/>
  <c r="B5"/>
  <c r="B6"/>
  <c r="B7"/>
  <c r="B8"/>
  <c r="B9"/>
  <c r="B10"/>
  <c r="B11"/>
  <c r="B12"/>
  <c r="B26"/>
  <c r="B27"/>
  <c r="B28"/>
  <c r="B29"/>
  <c r="B33" i="4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2"/>
  <c r="J2" i="1"/>
  <c r="I2" s="1"/>
  <c r="H2" s="1"/>
  <c r="N56" i="3"/>
  <c r="N55"/>
  <c r="N40"/>
  <c r="N39"/>
  <c r="R1"/>
  <c r="N7"/>
  <c r="P11"/>
  <c r="R19"/>
  <c r="R35" s="1"/>
  <c r="N8"/>
  <c r="P12"/>
  <c r="R20"/>
  <c r="R36" s="1"/>
  <c r="N32"/>
  <c r="N31"/>
  <c r="N24"/>
  <c r="P28"/>
  <c r="N23"/>
  <c r="P27"/>
  <c r="H37" i="2"/>
  <c r="R66" i="3"/>
  <c r="B19" l="1"/>
  <c r="F19" s="1"/>
  <c r="G20" s="1"/>
  <c r="B37"/>
  <c r="F37" s="1"/>
  <c r="J3" i="1"/>
  <c r="I3" s="1"/>
  <c r="H3" s="1"/>
  <c r="E32" i="6"/>
  <c r="F65" i="3"/>
  <c r="G65" s="1"/>
  <c r="E30" i="6"/>
  <c r="F7" i="3"/>
  <c r="G7" s="1"/>
  <c r="E59"/>
  <c r="E43"/>
  <c r="E27"/>
  <c r="E11"/>
  <c r="E63"/>
  <c r="E47"/>
  <c r="E31"/>
  <c r="E15"/>
  <c r="E65"/>
  <c r="C29" i="6"/>
  <c r="C31"/>
  <c r="C33"/>
  <c r="F17" i="3"/>
  <c r="G18" s="1"/>
  <c r="E17"/>
  <c r="F49"/>
  <c r="G49" s="1"/>
  <c r="E49"/>
  <c r="F33"/>
  <c r="G34" s="1"/>
  <c r="E33"/>
  <c r="E55"/>
  <c r="F55"/>
  <c r="G56" s="1"/>
  <c r="E39"/>
  <c r="F39"/>
  <c r="G39" s="1"/>
  <c r="E23"/>
  <c r="F23"/>
  <c r="G24" s="1"/>
  <c r="B7"/>
  <c r="D9"/>
  <c r="B21"/>
  <c r="F21" s="1"/>
  <c r="G22" s="1"/>
  <c r="G36"/>
  <c r="G35"/>
  <c r="G19"/>
  <c r="G68"/>
  <c r="G67"/>
  <c r="G52"/>
  <c r="G51"/>
  <c r="G6"/>
  <c r="G5"/>
  <c r="G54"/>
  <c r="G53"/>
  <c r="G38"/>
  <c r="G37"/>
  <c r="J4" i="1" l="1"/>
  <c r="J5" s="1"/>
  <c r="G21" i="3"/>
  <c r="H21" s="1"/>
  <c r="I21" s="1"/>
  <c r="L21" s="1"/>
  <c r="G17"/>
  <c r="H17" s="1"/>
  <c r="G50"/>
  <c r="J50" s="1"/>
  <c r="G8"/>
  <c r="I8" s="1"/>
  <c r="G66"/>
  <c r="I66" s="1"/>
  <c r="G40"/>
  <c r="H40" s="1"/>
  <c r="G33"/>
  <c r="I33" s="1"/>
  <c r="I4" i="1"/>
  <c r="H4" s="1"/>
  <c r="G55" i="3"/>
  <c r="J55" s="1"/>
  <c r="G23"/>
  <c r="J23" s="1"/>
  <c r="B9"/>
  <c r="F9" s="1"/>
  <c r="D11"/>
  <c r="J65"/>
  <c r="H65"/>
  <c r="I65"/>
  <c r="J56"/>
  <c r="H56"/>
  <c r="I56"/>
  <c r="J49"/>
  <c r="H49"/>
  <c r="I49"/>
  <c r="J39"/>
  <c r="H39"/>
  <c r="I39"/>
  <c r="J34"/>
  <c r="H34"/>
  <c r="I34"/>
  <c r="J24"/>
  <c r="H24"/>
  <c r="I24"/>
  <c r="J18"/>
  <c r="H18"/>
  <c r="I18"/>
  <c r="J7"/>
  <c r="H7"/>
  <c r="E5" i="6" s="1"/>
  <c r="I7" i="3"/>
  <c r="J37"/>
  <c r="H37"/>
  <c r="I37" s="1"/>
  <c r="L37" s="1"/>
  <c r="J38"/>
  <c r="H38"/>
  <c r="I38" s="1"/>
  <c r="L38" s="1"/>
  <c r="J53"/>
  <c r="H53"/>
  <c r="I53" s="1"/>
  <c r="L53" s="1"/>
  <c r="J54"/>
  <c r="H54"/>
  <c r="I54" s="1"/>
  <c r="L54" s="1"/>
  <c r="J5"/>
  <c r="H5"/>
  <c r="I5" s="1"/>
  <c r="L5" s="1"/>
  <c r="J6"/>
  <c r="H6"/>
  <c r="I6" s="1"/>
  <c r="L6" s="1"/>
  <c r="J21"/>
  <c r="J22"/>
  <c r="H22"/>
  <c r="I22" s="1"/>
  <c r="L22" s="1"/>
  <c r="J51"/>
  <c r="H51"/>
  <c r="I51" s="1"/>
  <c r="L49" s="1"/>
  <c r="J52"/>
  <c r="H52"/>
  <c r="I52" s="1"/>
  <c r="L50" s="1"/>
  <c r="J67"/>
  <c r="H67"/>
  <c r="I67" s="1"/>
  <c r="L65" s="1"/>
  <c r="J68"/>
  <c r="H68"/>
  <c r="I68" s="1"/>
  <c r="L66" s="1"/>
  <c r="J19"/>
  <c r="H19"/>
  <c r="I19" s="1"/>
  <c r="L17" s="1"/>
  <c r="N15" s="1"/>
  <c r="J20"/>
  <c r="H20"/>
  <c r="I20" s="1"/>
  <c r="L18" s="1"/>
  <c r="N16" s="1"/>
  <c r="J35"/>
  <c r="H35"/>
  <c r="I35" s="1"/>
  <c r="L33" s="1"/>
  <c r="J36"/>
  <c r="H36"/>
  <c r="I36" s="1"/>
  <c r="L34" s="1"/>
  <c r="C28" i="6" l="1"/>
  <c r="E33"/>
  <c r="D33" s="1"/>
  <c r="C26"/>
  <c r="D26" s="1"/>
  <c r="C30"/>
  <c r="D30" s="1"/>
  <c r="E29"/>
  <c r="D29" s="1"/>
  <c r="E27"/>
  <c r="E31"/>
  <c r="D31" s="1"/>
  <c r="C32"/>
  <c r="D32" s="1"/>
  <c r="H8" i="3"/>
  <c r="J8"/>
  <c r="I17"/>
  <c r="I40"/>
  <c r="J17"/>
  <c r="J40"/>
  <c r="H50"/>
  <c r="I50"/>
  <c r="J66"/>
  <c r="H66"/>
  <c r="J33"/>
  <c r="H33"/>
  <c r="C12" i="6" s="1"/>
  <c r="H55" i="3"/>
  <c r="E17" i="6" s="1"/>
  <c r="I55" i="3"/>
  <c r="I23"/>
  <c r="H23"/>
  <c r="E9" i="6" s="1"/>
  <c r="B11" i="3"/>
  <c r="F11" s="1"/>
  <c r="D13"/>
  <c r="G9"/>
  <c r="G10"/>
  <c r="J6" i="1"/>
  <c r="I5"/>
  <c r="H5" s="1"/>
  <c r="E12" i="6"/>
  <c r="E8"/>
  <c r="E20"/>
  <c r="E16"/>
  <c r="C9"/>
  <c r="C5"/>
  <c r="D5" s="1"/>
  <c r="C17"/>
  <c r="C13"/>
  <c r="C8"/>
  <c r="E13"/>
  <c r="C16"/>
  <c r="C20"/>
  <c r="D20" l="1"/>
  <c r="G12" i="3"/>
  <c r="G11"/>
  <c r="D8" i="6"/>
  <c r="D12"/>
  <c r="D15" i="3"/>
  <c r="B13"/>
  <c r="F13" s="1"/>
  <c r="D16" i="6"/>
  <c r="J7" i="1"/>
  <c r="I6"/>
  <c r="H6" s="1"/>
  <c r="J10" i="3"/>
  <c r="H10"/>
  <c r="I10" s="1"/>
  <c r="J9"/>
  <c r="H9"/>
  <c r="D13" i="6"/>
  <c r="D17"/>
  <c r="D9"/>
  <c r="C6" l="1"/>
  <c r="I9" i="3"/>
  <c r="J11"/>
  <c r="H11"/>
  <c r="I11" s="1"/>
  <c r="H12"/>
  <c r="I12" s="1"/>
  <c r="J12"/>
  <c r="I7" i="1"/>
  <c r="H7" s="1"/>
  <c r="J8"/>
  <c r="G14" i="3"/>
  <c r="G13"/>
  <c r="D17"/>
  <c r="B15"/>
  <c r="F15" s="1"/>
  <c r="G16" l="1"/>
  <c r="G15"/>
  <c r="E6" i="6"/>
  <c r="D6" s="1"/>
  <c r="H14" i="3"/>
  <c r="I14" s="1"/>
  <c r="L14" s="1"/>
  <c r="J14"/>
  <c r="I8" i="1"/>
  <c r="H8" s="1"/>
  <c r="J9"/>
  <c r="J13" i="3"/>
  <c r="H13"/>
  <c r="D19"/>
  <c r="D21" s="1"/>
  <c r="D23" s="1"/>
  <c r="B17"/>
  <c r="C7" i="6" l="1"/>
  <c r="H16" i="3"/>
  <c r="I16" s="1"/>
  <c r="J16"/>
  <c r="H15"/>
  <c r="J15"/>
  <c r="I13"/>
  <c r="L13" s="1"/>
  <c r="C27" i="6" s="1"/>
  <c r="D27" s="1"/>
  <c r="B23" i="3"/>
  <c r="D25"/>
  <c r="J10" i="1"/>
  <c r="I9"/>
  <c r="H9" s="1"/>
  <c r="E7" i="6" l="1"/>
  <c r="D7" s="1"/>
  <c r="I15" i="3"/>
  <c r="J11" i="1"/>
  <c r="I10"/>
  <c r="H10" s="1"/>
  <c r="D27" i="3"/>
  <c r="B25"/>
  <c r="F25" s="1"/>
  <c r="G26" l="1"/>
  <c r="G25"/>
  <c r="B27"/>
  <c r="F27" s="1"/>
  <c r="D29"/>
  <c r="I11" i="1"/>
  <c r="H11" s="1"/>
  <c r="J12"/>
  <c r="G28" i="3" l="1"/>
  <c r="G27"/>
  <c r="D31"/>
  <c r="B29"/>
  <c r="F29" s="1"/>
  <c r="J25"/>
  <c r="H25"/>
  <c r="J13" i="1"/>
  <c r="I12"/>
  <c r="H12" s="1"/>
  <c r="H26" i="3"/>
  <c r="I26" s="1"/>
  <c r="J26"/>
  <c r="C10" i="6" l="1"/>
  <c r="I25" i="3"/>
  <c r="H28"/>
  <c r="I28" s="1"/>
  <c r="L26" s="1"/>
  <c r="J28"/>
  <c r="H27"/>
  <c r="J27"/>
  <c r="J14" i="1"/>
  <c r="I13"/>
  <c r="H13" s="1"/>
  <c r="G30" i="3"/>
  <c r="G29"/>
  <c r="D33"/>
  <c r="B31"/>
  <c r="F31" s="1"/>
  <c r="E10" i="6" l="1"/>
  <c r="D10" s="1"/>
  <c r="I27" i="3"/>
  <c r="L25" s="1"/>
  <c r="E28" i="6" s="1"/>
  <c r="D28" s="1"/>
  <c r="G32" i="3"/>
  <c r="G31"/>
  <c r="J29"/>
  <c r="H29"/>
  <c r="H30"/>
  <c r="I30" s="1"/>
  <c r="J30"/>
  <c r="D35"/>
  <c r="D37" s="1"/>
  <c r="D39" s="1"/>
  <c r="B33"/>
  <c r="I14" i="1"/>
  <c r="H14" s="1"/>
  <c r="J15"/>
  <c r="C11" i="6" l="1"/>
  <c r="I29" i="3"/>
  <c r="H31"/>
  <c r="J31"/>
  <c r="H32"/>
  <c r="I32" s="1"/>
  <c r="J32"/>
  <c r="D41"/>
  <c r="B39"/>
  <c r="I15" i="1"/>
  <c r="H15" s="1"/>
  <c r="J16"/>
  <c r="E11" i="6" l="1"/>
  <c r="D11" s="1"/>
  <c r="I31" i="3"/>
  <c r="J17" i="1"/>
  <c r="I16"/>
  <c r="H16" s="1"/>
  <c r="B41" i="3"/>
  <c r="F41" s="1"/>
  <c r="D43"/>
  <c r="G42" l="1"/>
  <c r="G41"/>
  <c r="B43"/>
  <c r="F43" s="1"/>
  <c r="D45"/>
  <c r="J18" i="1"/>
  <c r="I17"/>
  <c r="H17" s="1"/>
  <c r="G43" i="3" l="1"/>
  <c r="G44"/>
  <c r="J19" i="1"/>
  <c r="I18"/>
  <c r="H18" s="1"/>
  <c r="D47" i="3"/>
  <c r="B45"/>
  <c r="F45" s="1"/>
  <c r="J41"/>
  <c r="H41"/>
  <c r="I41" s="1"/>
  <c r="H42"/>
  <c r="I42" s="1"/>
  <c r="J42"/>
  <c r="C14" i="6" l="1"/>
  <c r="H44" i="3"/>
  <c r="I44" s="1"/>
  <c r="J44"/>
  <c r="H43"/>
  <c r="J43"/>
  <c r="G45"/>
  <c r="G46"/>
  <c r="D49"/>
  <c r="B47"/>
  <c r="F47" s="1"/>
  <c r="I19" i="1"/>
  <c r="H19" s="1"/>
  <c r="J20"/>
  <c r="E14" i="6" l="1"/>
  <c r="D14" s="1"/>
  <c r="I43" i="3"/>
  <c r="G47"/>
  <c r="G48"/>
  <c r="D51"/>
  <c r="D53" s="1"/>
  <c r="D55" s="1"/>
  <c r="B49"/>
  <c r="J46"/>
  <c r="H46"/>
  <c r="I46" s="1"/>
  <c r="I20" i="1"/>
  <c r="H20" s="1"/>
  <c r="J21"/>
  <c r="H45" i="3"/>
  <c r="J45"/>
  <c r="C15" i="6" l="1"/>
  <c r="I45" i="3"/>
  <c r="J48"/>
  <c r="H48"/>
  <c r="I48" s="1"/>
  <c r="H47"/>
  <c r="J47"/>
  <c r="J22" i="1"/>
  <c r="I21"/>
  <c r="H21" s="1"/>
  <c r="B55" i="3"/>
  <c r="D57"/>
  <c r="E15" i="6" l="1"/>
  <c r="D15" s="1"/>
  <c r="I47" i="3"/>
  <c r="B57"/>
  <c r="F57" s="1"/>
  <c r="D59"/>
  <c r="J23" i="1"/>
  <c r="I22"/>
  <c r="H22" s="1"/>
  <c r="I23" l="1"/>
  <c r="H23" s="1"/>
  <c r="J24"/>
  <c r="B59" i="3"/>
  <c r="F59" s="1"/>
  <c r="D61"/>
  <c r="G58"/>
  <c r="G57"/>
  <c r="G59" l="1"/>
  <c r="G60"/>
  <c r="J58"/>
  <c r="H58"/>
  <c r="I58" s="1"/>
  <c r="D63"/>
  <c r="B61"/>
  <c r="F61" s="1"/>
  <c r="J25" i="1"/>
  <c r="I24"/>
  <c r="H24" s="1"/>
  <c r="H57" i="3"/>
  <c r="J57"/>
  <c r="C18" i="6" l="1"/>
  <c r="I57" i="3"/>
  <c r="J59"/>
  <c r="H59"/>
  <c r="H60"/>
  <c r="I60" s="1"/>
  <c r="J60"/>
  <c r="B63"/>
  <c r="F63" s="1"/>
  <c r="D65"/>
  <c r="J26" i="1"/>
  <c r="I25"/>
  <c r="H25" s="1"/>
  <c r="G62" i="3"/>
  <c r="G61"/>
  <c r="E18" i="6" l="1"/>
  <c r="D18" s="1"/>
  <c r="I59" i="3"/>
  <c r="G64"/>
  <c r="G63"/>
  <c r="J27" i="1"/>
  <c r="I26"/>
  <c r="H26" s="1"/>
  <c r="J61" i="3"/>
  <c r="H61"/>
  <c r="D67"/>
  <c r="B65"/>
  <c r="H62"/>
  <c r="I62" s="1"/>
  <c r="J62"/>
  <c r="C19" i="6" l="1"/>
  <c r="I61" i="3"/>
  <c r="H64"/>
  <c r="I64" s="1"/>
  <c r="J64"/>
  <c r="H63"/>
  <c r="J63"/>
  <c r="I27" i="1"/>
  <c r="H27" s="1"/>
  <c r="J28"/>
  <c r="E19" i="6" l="1"/>
  <c r="D19" s="1"/>
  <c r="I63" i="3"/>
  <c r="J29" i="1"/>
  <c r="I28"/>
  <c r="H28" s="1"/>
  <c r="J30" l="1"/>
  <c r="I29"/>
  <c r="H29" s="1"/>
  <c r="I30" l="1"/>
  <c r="H30" s="1"/>
  <c r="J31"/>
  <c r="J32" l="1"/>
  <c r="I31"/>
  <c r="H31" s="1"/>
  <c r="J33" l="1"/>
  <c r="I33" s="1"/>
  <c r="H33" s="1"/>
  <c r="I32"/>
  <c r="H32" s="1"/>
</calcChain>
</file>

<file path=xl/comments1.xml><?xml version="1.0" encoding="utf-8"?>
<comments xmlns="http://schemas.openxmlformats.org/spreadsheetml/2006/main">
  <authors>
    <author>K</author>
  </authors>
  <commentList>
    <comment ref="A55" authorId="0">
      <text>
        <r>
          <rPr>
            <b/>
            <i/>
            <sz val="8"/>
            <color indexed="81"/>
            <rFont val="Tahoma"/>
            <family val="2"/>
            <charset val="161"/>
          </rPr>
          <t>Ενέργεια μόνο την πρώτη φορά χρήσης του προγράμματος</t>
        </r>
        <r>
          <rPr>
            <b/>
            <u/>
            <sz val="8"/>
            <color indexed="81"/>
            <rFont val="Tahoma"/>
            <family val="2"/>
            <charset val="161"/>
          </rPr>
          <t xml:space="preserve">
User Defined Function RandUniq:</t>
        </r>
        <r>
          <rPr>
            <b/>
            <sz val="8"/>
            <color indexed="81"/>
            <rFont val="Tahoma"/>
            <family val="2"/>
            <charset val="161"/>
          </rPr>
          <t xml:space="preserve">
COPY the text below, push </t>
        </r>
        <r>
          <rPr>
            <b/>
            <sz val="9"/>
            <color indexed="81"/>
            <rFont val="Tahoma"/>
            <family val="2"/>
            <charset val="161"/>
          </rPr>
          <t>Alt+F11</t>
        </r>
        <r>
          <rPr>
            <b/>
            <sz val="8"/>
            <color indexed="81"/>
            <rFont val="Tahoma"/>
            <family val="2"/>
            <charset val="161"/>
          </rPr>
          <t xml:space="preserve"> and go </t>
        </r>
        <r>
          <rPr>
            <b/>
            <sz val="9"/>
            <color indexed="81"/>
            <rFont val="Tahoma"/>
            <family val="2"/>
            <charset val="161"/>
          </rPr>
          <t>Insert--&gt;Module</t>
        </r>
        <r>
          <rPr>
            <b/>
            <sz val="8"/>
            <color indexed="81"/>
            <rFont val="Tahoma"/>
            <family val="2"/>
            <charset val="161"/>
          </rPr>
          <t xml:space="preserve"> and PASTE in the code. Push </t>
        </r>
        <r>
          <rPr>
            <b/>
            <sz val="9"/>
            <color indexed="81"/>
            <rFont val="Tahoma"/>
            <family val="2"/>
            <charset val="161"/>
          </rPr>
          <t>Alt+Q</t>
        </r>
        <r>
          <rPr>
            <b/>
            <sz val="8"/>
            <color indexed="81"/>
            <rFont val="Tahoma"/>
            <family val="2"/>
            <charset val="161"/>
          </rPr>
          <t xml:space="preserve"> and save.
The Function will appear under "User Defined" in the Paste Function dialog box (Shift+F3)
Syntax: =RandUniq(1,20,8)
This would produce 8 unique random numbers between 1 and 20 
========== </t>
        </r>
        <r>
          <rPr>
            <b/>
            <sz val="8"/>
            <color indexed="10"/>
            <rFont val="Tahoma"/>
            <family val="2"/>
            <charset val="161"/>
          </rPr>
          <t>COPY AFTER THIS</t>
        </r>
        <r>
          <rPr>
            <b/>
            <sz val="8"/>
            <color indexed="81"/>
            <rFont val="Tahoma"/>
            <family val="2"/>
            <charset val="161"/>
          </rPr>
          <t xml:space="preserve">  ===========
</t>
        </r>
        <r>
          <rPr>
            <b/>
            <sz val="9"/>
            <color indexed="81"/>
            <rFont val="Tahoma"/>
            <family val="2"/>
            <charset val="161"/>
          </rPr>
          <t>Function RandUniq(FromNum As Integer, ToNum As Integer, _
                    HowMany As Integer) As String
    Dim iArr As Variant
    Dim i As Integer
    Dim r As Integer
    Dim temp As Integer
    Application.Volatile
    ReDim iArr(FromNum To ToNum)
    For i = FromNum To ToNum
        iArr(i) = i
    Next i
    For k = 1 To Second(Time)
        For i = ToNum To FromNum + 1 Step -1
            r = Int(Rnd() * (i - FromNum + 1)) + FromNum
            temp = iArr(r)
            iArr(r) = iArr(i)
            iArr(i) = temp
        Next i
    Next k
    For i = FromNum To FromNum + HowMany - 1
        RandUniq = RandUniq &amp; " " &amp; iArr(i)
    Next i
    RandUniq = Trim(RandUniq)
End Function</t>
        </r>
      </text>
    </comment>
  </commentList>
</comments>
</file>

<file path=xl/sharedStrings.xml><?xml version="1.0" encoding="utf-8"?>
<sst xmlns="http://schemas.openxmlformats.org/spreadsheetml/2006/main" count="152" uniqueCount="111">
  <si>
    <t xml:space="preserve">Έναρξη: </t>
  </si>
  <si>
    <t xml:space="preserve">Λήξη: </t>
  </si>
  <si>
    <t xml:space="preserve">Επιδιατητής: </t>
  </si>
  <si>
    <t xml:space="preserve">Διοργανωτής: </t>
  </si>
  <si>
    <t xml:space="preserve">Τίτλος Τουρνουά: </t>
  </si>
  <si>
    <t xml:space="preserve">Έδρα αγώνων: </t>
  </si>
  <si>
    <t>Ονοματεπώνυμο</t>
  </si>
  <si>
    <t>Α.Μ.</t>
  </si>
  <si>
    <t>Σύλλογος</t>
  </si>
  <si>
    <t>α/α</t>
  </si>
  <si>
    <t>seed</t>
  </si>
  <si>
    <t>3-4</t>
  </si>
  <si>
    <t>ΩΡΑ</t>
  </si>
  <si>
    <t>Έναρξη</t>
  </si>
  <si>
    <t>όχι πριν</t>
  </si>
  <si>
    <t xml:space="preserve">Τηλέφωνο επιδ: </t>
  </si>
  <si>
    <t>Θέσεις</t>
  </si>
  <si>
    <t>space pos</t>
  </si>
  <si>
    <t>=RandUniq(3;4;2)</t>
  </si>
  <si>
    <t xml:space="preserve"> </t>
  </si>
  <si>
    <t>Index</t>
  </si>
  <si>
    <t>Value</t>
  </si>
  <si>
    <t>ByeOrder</t>
  </si>
  <si>
    <t>points</t>
  </si>
  <si>
    <t>Πρόγραμμα αγώνων</t>
  </si>
  <si>
    <t>Round 2</t>
  </si>
  <si>
    <t>Don't Change this Worksheet !</t>
  </si>
  <si>
    <t>5-8</t>
  </si>
  <si>
    <t xml:space="preserve">Αριθμός θέσεων seeded: </t>
  </si>
  <si>
    <t>επώνυμο</t>
  </si>
  <si>
    <t>ByeCnt</t>
  </si>
  <si>
    <t>ByeSum</t>
  </si>
  <si>
    <t>seeded players</t>
  </si>
  <si>
    <t>επιδιαιτητής</t>
  </si>
  <si>
    <t>Round 1</t>
  </si>
  <si>
    <t>Αθλητές ζευγάρι α'</t>
  </si>
  <si>
    <t>Αθλητές ζευγάρι β'</t>
  </si>
  <si>
    <t>RndIndx</t>
  </si>
  <si>
    <t>random</t>
  </si>
  <si>
    <t>FixRandom</t>
  </si>
  <si>
    <t>SortPts</t>
  </si>
  <si>
    <t>ΔΙΠΛΑ 32άρι ΤΑΜΠΛΟ</t>
  </si>
  <si>
    <t xml:space="preserve">Πλήθος bye (0-15): </t>
  </si>
  <si>
    <t>=RandUniq(5;8;4)</t>
  </si>
  <si>
    <t xml:space="preserve">1 2 3 4 5 6 7 8 </t>
  </si>
  <si>
    <t>=CONCATENATE(LEFT($A$34;$B$18*2);LEFT($A$33;$B$19*2);RandUniq($B$19+1;32-$B$18;32-$B$19-$B$18);" ")</t>
  </si>
  <si>
    <t>κτγρ</t>
  </si>
  <si>
    <t xml:space="preserve"> Τηλέφωνο </t>
  </si>
  <si>
    <t xml:space="preserve">0 0 0 0 0 0 0 0 0 0 0 0 0 0 0 0 0 0 0 0 0 0 0 0 0 0 0 0 0 0 0 0 0 0 0 0 0 0 0 0 </t>
  </si>
  <si>
    <t>BoldPlayers</t>
  </si>
  <si>
    <t>Rnd</t>
  </si>
  <si>
    <t>Main Draw</t>
  </si>
  <si>
    <t xml:space="preserve">md  (# για off) </t>
  </si>
  <si>
    <t>ok</t>
  </si>
  <si>
    <t xml:space="preserve">type: </t>
  </si>
  <si>
    <t>2 &amp; w</t>
  </si>
  <si>
    <t xml:space="preserve">Κατηγορία: </t>
  </si>
  <si>
    <t>Athlisis Tennis Club</t>
  </si>
  <si>
    <t>ΚΟΥΡΟΥΝΙΩΤΗΣ ΓΙΑΝΝΗΣ</t>
  </si>
  <si>
    <t>ΔΕΛΗ ΜΑΡΑ</t>
  </si>
  <si>
    <t>ΚΑΛΤΕΖΙΩΤΗ ΕΛΕΝΗ</t>
  </si>
  <si>
    <t>ΤΖΙΝΗΣ ΝΙΚΟΣ</t>
  </si>
  <si>
    <t>ΣΟΥΡΛΙΓΚΑ ΝΙΚΟΛΙΑ</t>
  </si>
  <si>
    <t>ΡΟΥΜΕΛΙΩΤΗΣ ΚΩΣΤΑΣ</t>
  </si>
  <si>
    <t>ΠΑΝΑΓΙΩΤΟΠΟΥΛΟΣ ΧΡΗΣΤΟΣ</t>
  </si>
  <si>
    <t>ΣΟΓΙΑ ΕΡΗ</t>
  </si>
  <si>
    <t>ΑΝΤΩΝΟΠΟΥΛΟΥ ΚΑΤΕΡΙΝΑ</t>
  </si>
  <si>
    <t xml:space="preserve">ΕΞΑΔΑΚΤΥΛΟΣ ΠΑΥΛΟΣ </t>
  </si>
  <si>
    <t>ΠΡΙΟΒΟΛΟΣ ΧΡΗΣΤΟΣ</t>
  </si>
  <si>
    <t>ΜΑΡΛΑΓΚΟΥΤΣΟΥ ΜΑΡΙΑ</t>
  </si>
  <si>
    <t xml:space="preserve">ΒΑΡΒΑΡΟΥ ΜΑΡΙΑ </t>
  </si>
  <si>
    <t>ΠΑΠΑΘΥΜΙΟΠΟΥΛΟΣ ΒΑΓΓΕΛΗΣ</t>
  </si>
  <si>
    <t>ΑΝΤΩΝΑΚΟΥ ΔΗΜΗΤΡΑ</t>
  </si>
  <si>
    <t>ΚΕΦΑΛΩΝΙΤΗΣ ΝΙΚΗΦΟΡΟΣ</t>
  </si>
  <si>
    <t>ΜΠΟΥΡΗΣ ΦΑΝΗΣ</t>
  </si>
  <si>
    <t>ΜΙΧΑΛΟΠΟΥΛΟΥ ΤΟΝΙΑ</t>
  </si>
  <si>
    <t>ΚΑΤΣΑΛΟΥΛΗ ΠΑΝΑΓΙΩΤΑ</t>
  </si>
  <si>
    <t>ΜΠΟΖΟΣ ΘΟΔΩΡΗΣ</t>
  </si>
  <si>
    <t>ΝΤΟΥΣΙΑ ΣΤΕΛΛΑ</t>
  </si>
  <si>
    <t>ΤΣΕΚΕΣ ΧΡΗΣΤΟΣ</t>
  </si>
  <si>
    <t>ΤΣΑΜΙΔΗΣ ΓΙΩΡΓΟΣ</t>
  </si>
  <si>
    <t>ΓΕΛΑΛΗ ΑΝΑΣΤΑΣΙΑ</t>
  </si>
  <si>
    <t>DE GREVE ELKE</t>
  </si>
  <si>
    <t>ΔΙΑΜΑΝΤΗΣ ΣΤΡΑΤΟΣ</t>
  </si>
  <si>
    <t>ΚΟΝΤΟΣ ΤΑΣΟΣ</t>
  </si>
  <si>
    <t>ΣΤΡΑΤΟΥ ΕΛΠΙΔΑ</t>
  </si>
  <si>
    <t xml:space="preserve">ΑΘΑΝΑΣΙΑΔΟΥ ΔΗΜΗΤΡΑ </t>
  </si>
  <si>
    <t>ΤΡΙΚΑΤΣΟΥΛΑΣ ΠΑΝΑΓΙΩΤΗΣ</t>
  </si>
  <si>
    <t>ΚΑΛΛΙΑΝΟΣ ΓΙΩΡΓΟΣ</t>
  </si>
  <si>
    <t>ΠΟΜΑΚΗ ΑΓΓΕΛΙΚΗ</t>
  </si>
  <si>
    <t>ΣΤΑΥΡΟΠΟΥΛΟΥ ΑΓΓΕΛΙΝΑ</t>
  </si>
  <si>
    <t>ΚΟΝΤΟΣ ΜΙΧΑΛΗΣ</t>
  </si>
  <si>
    <t>ΠΑΠΠΑΣ ΣΠΥΡΟΣ</t>
  </si>
  <si>
    <t>ΜΠΑΛΤΑ ΧΡΥΣΗ</t>
  </si>
  <si>
    <t>ΗΛΙΟΠΟΥΛΟΣ ΠΑΝΟΣ</t>
  </si>
  <si>
    <t>ΜΙΝΤΡΟΥ ΧΡΙΣΤΙΝΑ</t>
  </si>
  <si>
    <t>ΒΛΑΧΟΣΠΥΡΟΣ ΝΙΚΟΣ</t>
  </si>
  <si>
    <t>ΠΑΠΑΔΟΠΟΥΛΟΥ ΜΕΛΙΝΑ</t>
  </si>
  <si>
    <t>ΤΣΑΜΗ ΝΑΝΤΙΑ</t>
  </si>
  <si>
    <t>ΡΕΝΤΑΣ ΜΑΡΙΟΣ</t>
  </si>
  <si>
    <t>ΑΝΤΩΝΑΚΟΣ ΑΓΓΕΛΟΣ</t>
  </si>
  <si>
    <t>ΨΥΧΑ ΦΩΤΕΙΝΗ</t>
  </si>
  <si>
    <t>Mixted Doubles</t>
  </si>
  <si>
    <t>15th Open A.C. by F.Bozionelos S.A.</t>
  </si>
  <si>
    <t>4 3</t>
  </si>
  <si>
    <t>8 7 5 6</t>
  </si>
  <si>
    <t xml:space="preserve">0 0 0 0 0 0 0 0 0 1 2 3 4 5 6 7 8 18 16 20 19 12 15 9 17 21 11 14 10 22 23 13 </t>
  </si>
  <si>
    <t>6/1 6/3</t>
  </si>
  <si>
    <t>ΣΠΑΝΟΣ ΧΡΗΣΤΟΣ</t>
  </si>
  <si>
    <t>ΣΤΕΦΑΝΟΥ ΜΑΡΙΑ</t>
  </si>
  <si>
    <t>W.O.</t>
  </si>
</sst>
</file>

<file path=xl/styles.xml><?xml version="1.0" encoding="utf-8"?>
<styleSheet xmlns="http://schemas.openxmlformats.org/spreadsheetml/2006/main">
  <numFmts count="3">
    <numFmt numFmtId="164" formatCode="[$-F800]dddd\,\ mmmm\ dd\,\ yyyy"/>
    <numFmt numFmtId="165" formatCode="0.00000"/>
    <numFmt numFmtId="166" formatCode="0.0000"/>
  </numFmts>
  <fonts count="42">
    <font>
      <sz val="10"/>
      <name val="Arial"/>
      <charset val="161"/>
    </font>
    <font>
      <sz val="8"/>
      <name val="Arial"/>
      <family val="2"/>
      <charset val="161"/>
    </font>
    <font>
      <b/>
      <sz val="9"/>
      <name val="Arial"/>
      <family val="2"/>
      <charset val="161"/>
    </font>
    <font>
      <sz val="9"/>
      <name val="Arial"/>
      <family val="2"/>
      <charset val="161"/>
    </font>
    <font>
      <b/>
      <sz val="14"/>
      <name val="Arial"/>
      <family val="2"/>
      <charset val="161"/>
    </font>
    <font>
      <sz val="8"/>
      <name val="Arial"/>
      <family val="2"/>
      <charset val="161"/>
    </font>
    <font>
      <u/>
      <sz val="8"/>
      <name val="Arial"/>
      <family val="2"/>
      <charset val="161"/>
    </font>
    <font>
      <b/>
      <sz val="8"/>
      <color indexed="12"/>
      <name val="Arial"/>
      <family val="2"/>
      <charset val="161"/>
    </font>
    <font>
      <b/>
      <sz val="8"/>
      <name val="Arial"/>
      <family val="2"/>
      <charset val="161"/>
    </font>
    <font>
      <sz val="6"/>
      <name val="Arial"/>
      <family val="2"/>
      <charset val="161"/>
    </font>
    <font>
      <u/>
      <sz val="6"/>
      <color indexed="55"/>
      <name val="Arial"/>
      <family val="2"/>
      <charset val="161"/>
    </font>
    <font>
      <sz val="6"/>
      <color indexed="55"/>
      <name val="Arial"/>
      <family val="2"/>
      <charset val="161"/>
    </font>
    <font>
      <u/>
      <sz val="8"/>
      <color indexed="55"/>
      <name val="Arial"/>
      <family val="2"/>
      <charset val="161"/>
    </font>
    <font>
      <sz val="8"/>
      <color indexed="55"/>
      <name val="Arial"/>
      <family val="2"/>
      <charset val="161"/>
    </font>
    <font>
      <b/>
      <sz val="10"/>
      <name val="Arial"/>
      <family val="2"/>
      <charset val="161"/>
    </font>
    <font>
      <b/>
      <sz val="6"/>
      <color indexed="12"/>
      <name val="Arial"/>
      <family val="2"/>
      <charset val="161"/>
    </font>
    <font>
      <sz val="14"/>
      <name val="Arial"/>
      <family val="2"/>
      <charset val="161"/>
    </font>
    <font>
      <sz val="7"/>
      <name val="Arial"/>
      <family val="2"/>
      <charset val="161"/>
    </font>
    <font>
      <b/>
      <sz val="8"/>
      <color indexed="81"/>
      <name val="Tahoma"/>
      <family val="2"/>
      <charset val="161"/>
    </font>
    <font>
      <b/>
      <u/>
      <sz val="8"/>
      <color indexed="81"/>
      <name val="Tahoma"/>
      <family val="2"/>
      <charset val="161"/>
    </font>
    <font>
      <b/>
      <u/>
      <sz val="12"/>
      <name val="Arial"/>
      <family val="2"/>
      <charset val="161"/>
    </font>
    <font>
      <sz val="10"/>
      <name val="Arial"/>
      <family val="2"/>
      <charset val="161"/>
    </font>
    <font>
      <b/>
      <sz val="6"/>
      <name val="Arial"/>
      <family val="2"/>
      <charset val="161"/>
    </font>
    <font>
      <b/>
      <sz val="12"/>
      <color indexed="10"/>
      <name val="Arial"/>
      <family val="2"/>
      <charset val="161"/>
    </font>
    <font>
      <sz val="12"/>
      <color indexed="10"/>
      <name val="Arial"/>
      <family val="2"/>
      <charset val="161"/>
    </font>
    <font>
      <i/>
      <sz val="7"/>
      <name val="Arial"/>
      <family val="2"/>
      <charset val="161"/>
    </font>
    <font>
      <b/>
      <i/>
      <u/>
      <sz val="7"/>
      <name val="Arial"/>
      <family val="2"/>
      <charset val="161"/>
    </font>
    <font>
      <b/>
      <i/>
      <sz val="7"/>
      <name val="Arial"/>
      <family val="2"/>
      <charset val="161"/>
    </font>
    <font>
      <i/>
      <sz val="7"/>
      <color indexed="55"/>
      <name val="Arial"/>
      <family val="2"/>
      <charset val="161"/>
    </font>
    <font>
      <i/>
      <u/>
      <sz val="7"/>
      <name val="Arial"/>
      <family val="2"/>
      <charset val="161"/>
    </font>
    <font>
      <b/>
      <i/>
      <sz val="8"/>
      <color indexed="81"/>
      <name val="Tahoma"/>
      <family val="2"/>
      <charset val="161"/>
    </font>
    <font>
      <b/>
      <sz val="9"/>
      <color indexed="81"/>
      <name val="Tahoma"/>
      <family val="2"/>
      <charset val="161"/>
    </font>
    <font>
      <b/>
      <sz val="8"/>
      <color indexed="10"/>
      <name val="Tahoma"/>
      <family val="2"/>
      <charset val="161"/>
    </font>
    <font>
      <sz val="8"/>
      <color indexed="8"/>
      <name val="Arial"/>
      <family val="2"/>
      <charset val="161"/>
    </font>
    <font>
      <b/>
      <u/>
      <sz val="13"/>
      <name val="Arial"/>
      <family val="2"/>
      <charset val="161"/>
    </font>
    <font>
      <sz val="13"/>
      <name val="Arial"/>
      <family val="2"/>
      <charset val="161"/>
    </font>
    <font>
      <b/>
      <sz val="13"/>
      <name val="Arial"/>
      <family val="2"/>
      <charset val="161"/>
    </font>
    <font>
      <b/>
      <i/>
      <sz val="8"/>
      <name val="Arial"/>
      <family val="2"/>
      <charset val="161"/>
    </font>
    <font>
      <b/>
      <sz val="10"/>
      <color rgb="FFC00000"/>
      <name val="Arial"/>
      <family val="2"/>
      <charset val="161"/>
    </font>
    <font>
      <b/>
      <u/>
      <sz val="14"/>
      <name val="Arial"/>
      <family val="2"/>
      <charset val="161"/>
    </font>
    <font>
      <i/>
      <sz val="8"/>
      <name val="Arial"/>
      <family val="2"/>
      <charset val="161"/>
    </font>
    <font>
      <b/>
      <sz val="12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8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NumberFormat="1" applyFont="1" applyFill="1" applyBorder="1" applyAlignment="1">
      <alignment horizontal="centerContinuous"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quotePrefix="1" applyFont="1" applyFill="1" applyAlignment="1">
      <alignment horizontal="center" vertical="center"/>
    </xf>
    <xf numFmtId="0" fontId="3" fillId="0" borderId="0" xfId="0" quotePrefix="1" applyFont="1" applyFill="1" applyBorder="1" applyAlignment="1">
      <alignment horizontal="center" vertical="center"/>
    </xf>
    <xf numFmtId="0" fontId="3" fillId="0" borderId="0" xfId="0" quotePrefix="1" applyFont="1" applyFill="1" applyBorder="1" applyAlignment="1">
      <alignment vertical="center"/>
    </xf>
    <xf numFmtId="0" fontId="3" fillId="0" borderId="0" xfId="0" quotePrefix="1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2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Continuous" vertical="center"/>
    </xf>
    <xf numFmtId="0" fontId="3" fillId="0" borderId="0" xfId="0" applyFont="1" applyFill="1" applyAlignment="1">
      <alignment vertical="center"/>
    </xf>
    <xf numFmtId="0" fontId="4" fillId="0" borderId="10" xfId="0" applyFont="1" applyFill="1" applyBorder="1" applyAlignment="1">
      <alignment horizontal="centerContinuous" vertical="center"/>
    </xf>
    <xf numFmtId="0" fontId="4" fillId="0" borderId="12" xfId="0" applyFont="1" applyFill="1" applyBorder="1" applyAlignment="1">
      <alignment horizontal="centerContinuous" vertical="center"/>
    </xf>
    <xf numFmtId="0" fontId="4" fillId="0" borderId="12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Continuous" vertical="center"/>
    </xf>
    <xf numFmtId="0" fontId="3" fillId="0" borderId="0" xfId="0" quotePrefix="1" applyFont="1" applyFill="1" applyAlignment="1">
      <alignment horizontal="left" vertical="center"/>
    </xf>
    <xf numFmtId="0" fontId="3" fillId="0" borderId="0" xfId="0" quotePrefix="1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4" fillId="12" borderId="3" xfId="0" applyFont="1" applyFill="1" applyBorder="1" applyAlignment="1" applyProtection="1">
      <alignment horizontal="center" vertical="center"/>
    </xf>
    <xf numFmtId="0" fontId="39" fillId="0" borderId="0" xfId="0" applyNumberFormat="1" applyFont="1" applyBorder="1" applyAlignment="1">
      <alignment horizontal="left" vertical="center"/>
    </xf>
    <xf numFmtId="0" fontId="40" fillId="0" borderId="0" xfId="0" applyFont="1" applyBorder="1" applyAlignment="1" applyProtection="1">
      <alignment horizontal="right" vertical="center"/>
    </xf>
    <xf numFmtId="0" fontId="21" fillId="0" borderId="0" xfId="0" applyFont="1"/>
    <xf numFmtId="0" fontId="40" fillId="10" borderId="13" xfId="0" applyFont="1" applyFill="1" applyBorder="1" applyAlignment="1" applyProtection="1">
      <alignment horizontal="left" vertical="center"/>
      <protection locked="0"/>
    </xf>
    <xf numFmtId="0" fontId="38" fillId="10" borderId="29" xfId="0" applyFont="1" applyFill="1" applyBorder="1" applyAlignment="1" applyProtection="1">
      <alignment horizontal="left" vertical="center"/>
      <protection locked="0"/>
    </xf>
    <xf numFmtId="0" fontId="38" fillId="10" borderId="13" xfId="0" applyFont="1" applyFill="1" applyBorder="1" applyAlignment="1" applyProtection="1">
      <alignment horizontal="left" vertical="center"/>
      <protection locked="0"/>
    </xf>
    <xf numFmtId="49" fontId="38" fillId="10" borderId="13" xfId="0" applyNumberFormat="1" applyFont="1" applyFill="1" applyBorder="1" applyAlignment="1" applyProtection="1">
      <alignment horizontal="left" vertical="center"/>
      <protection locked="0"/>
    </xf>
    <xf numFmtId="0" fontId="38" fillId="10" borderId="14" xfId="0" applyFont="1" applyFill="1" applyBorder="1" applyAlignment="1" applyProtection="1">
      <alignment horizontal="left" vertical="center"/>
      <protection locked="0"/>
    </xf>
    <xf numFmtId="0" fontId="3" fillId="0" borderId="0" xfId="0" applyNumberFormat="1" applyFont="1" applyBorder="1" applyAlignment="1" applyProtection="1">
      <alignment vertical="center"/>
      <protection locked="0"/>
    </xf>
    <xf numFmtId="0" fontId="3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3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3" borderId="8" xfId="0" applyNumberFormat="1" applyFont="1" applyFill="1" applyBorder="1" applyAlignment="1" applyProtection="1">
      <alignment horizontal="left" vertical="center"/>
      <protection locked="0"/>
    </xf>
    <xf numFmtId="0" fontId="9" fillId="0" borderId="8" xfId="0" applyNumberFormat="1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4" xfId="0" quotePrefix="1" applyNumberFormat="1" applyFont="1" applyBorder="1" applyAlignment="1" applyProtection="1">
      <alignment horizontal="center" vertical="center"/>
      <protection locked="0"/>
    </xf>
    <xf numFmtId="0" fontId="9" fillId="4" borderId="0" xfId="0" applyNumberFormat="1" applyFont="1" applyFill="1" applyBorder="1" applyAlignment="1" applyProtection="1">
      <alignment horizontal="left" vertical="center"/>
      <protection locked="0"/>
    </xf>
    <xf numFmtId="0" fontId="3" fillId="0" borderId="6" xfId="0" applyNumberFormat="1" applyFont="1" applyBorder="1" applyAlignment="1" applyProtection="1">
      <alignment horizontal="center" vertical="center"/>
      <protection locked="0"/>
    </xf>
    <xf numFmtId="0" fontId="3" fillId="0" borderId="13" xfId="0" quotePrefix="1" applyNumberFormat="1" applyFont="1" applyBorder="1" applyAlignment="1" applyProtection="1">
      <alignment horizontal="center" vertical="center"/>
      <protection locked="0"/>
    </xf>
    <xf numFmtId="0" fontId="9" fillId="0" borderId="13" xfId="0" applyNumberFormat="1" applyFont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3" fillId="4" borderId="13" xfId="0" applyFont="1" applyFill="1" applyBorder="1" applyAlignment="1" applyProtection="1">
      <alignment horizontal="center" vertical="center"/>
      <protection locked="0"/>
    </xf>
    <xf numFmtId="0" fontId="3" fillId="0" borderId="7" xfId="0" quotePrefix="1" applyNumberFormat="1" applyFont="1" applyBorder="1" applyAlignment="1" applyProtection="1">
      <alignment horizontal="center" vertical="center"/>
      <protection locked="0"/>
    </xf>
    <xf numFmtId="0" fontId="3" fillId="0" borderId="5" xfId="0" applyNumberFormat="1" applyFont="1" applyBorder="1" applyAlignment="1" applyProtection="1">
      <alignment horizontal="center" vertical="center"/>
      <protection locked="0"/>
    </xf>
    <xf numFmtId="0" fontId="3" fillId="0" borderId="5" xfId="0" quotePrefix="1" applyNumberFormat="1" applyFont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NumberFormat="1" applyFont="1" applyBorder="1" applyAlignment="1" applyProtection="1">
      <alignment horizontal="center" vertical="center"/>
      <protection locked="0"/>
    </xf>
    <xf numFmtId="0" fontId="1" fillId="0" borderId="0" xfId="0" applyNumberFormat="1" applyFont="1" applyBorder="1" applyAlignment="1" applyProtection="1">
      <alignment horizontal="center" vertical="center"/>
      <protection locked="0"/>
    </xf>
    <xf numFmtId="0" fontId="37" fillId="0" borderId="0" xfId="0" quotePrefix="1" applyFont="1" applyBorder="1" applyAlignment="1" applyProtection="1">
      <alignment horizontal="left" vertical="center"/>
      <protection locked="0"/>
    </xf>
    <xf numFmtId="0" fontId="21" fillId="0" borderId="0" xfId="0" quotePrefix="1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right" vertical="center"/>
      <protection locked="0"/>
    </xf>
    <xf numFmtId="0" fontId="1" fillId="0" borderId="0" xfId="0" quotePrefix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right" vertical="center"/>
      <protection locked="0"/>
    </xf>
    <xf numFmtId="0" fontId="9" fillId="4" borderId="0" xfId="0" applyFont="1" applyFill="1" applyBorder="1" applyAlignment="1" applyProtection="1">
      <alignment horizontal="left" vertical="center"/>
      <protection locked="0"/>
    </xf>
    <xf numFmtId="0" fontId="3" fillId="4" borderId="0" xfId="0" applyFont="1" applyFill="1" applyBorder="1" applyAlignment="1" applyProtection="1">
      <alignment vertical="center"/>
      <protection locked="0"/>
    </xf>
    <xf numFmtId="0" fontId="9" fillId="0" borderId="0" xfId="0" applyNumberFormat="1" applyFont="1" applyBorder="1" applyAlignment="1" applyProtection="1">
      <alignment horizontal="left" vertical="center"/>
      <protection locked="0"/>
    </xf>
    <xf numFmtId="0" fontId="3" fillId="0" borderId="9" xfId="0" applyNumberFormat="1" applyFont="1" applyBorder="1" applyAlignment="1" applyProtection="1">
      <alignment horizontal="center" vertical="center"/>
      <protection locked="0"/>
    </xf>
    <xf numFmtId="0" fontId="3" fillId="0" borderId="14" xfId="0" quotePrefix="1" applyNumberFormat="1" applyFont="1" applyBorder="1" applyAlignment="1" applyProtection="1">
      <alignment horizontal="center" vertical="center"/>
      <protection locked="0"/>
    </xf>
    <xf numFmtId="0" fontId="9" fillId="0" borderId="14" xfId="0" applyNumberFormat="1" applyFont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 applyProtection="1">
      <alignment horizontal="center" vertical="center"/>
      <protection locked="0"/>
    </xf>
    <xf numFmtId="0" fontId="3" fillId="4" borderId="14" xfId="0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quotePrefix="1" applyFont="1" applyBorder="1" applyAlignment="1" applyProtection="1">
      <alignment vertical="center"/>
      <protection locked="0"/>
    </xf>
    <xf numFmtId="0" fontId="2" fillId="0" borderId="0" xfId="0" quotePrefix="1" applyFont="1" applyBorder="1" applyAlignment="1" applyProtection="1">
      <alignment horizontal="left" vertical="center"/>
      <protection locked="0"/>
    </xf>
    <xf numFmtId="0" fontId="2" fillId="0" borderId="0" xfId="0" quotePrefix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164" fontId="3" fillId="0" borderId="0" xfId="0" applyNumberFormat="1" applyFont="1" applyBorder="1" applyAlignment="1" applyProtection="1">
      <alignment horizontal="left" vertical="center"/>
      <protection locked="0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quotePrefix="1" applyNumberFormat="1" applyFont="1" applyFill="1" applyBorder="1" applyAlignment="1" applyProtection="1">
      <alignment horizontal="center" vertical="center"/>
      <protection locked="0"/>
    </xf>
    <xf numFmtId="0" fontId="9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 vertical="center"/>
    </xf>
    <xf numFmtId="0" fontId="3" fillId="0" borderId="6" xfId="0" applyFont="1" applyBorder="1" applyAlignment="1" applyProtection="1">
      <alignment horizontal="right" vertical="center"/>
    </xf>
    <xf numFmtId="0" fontId="3" fillId="0" borderId="9" xfId="0" applyFont="1" applyBorder="1" applyAlignment="1" applyProtection="1">
      <alignment horizontal="right" vertical="center"/>
    </xf>
    <xf numFmtId="0" fontId="37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left" vertical="center"/>
    </xf>
    <xf numFmtId="0" fontId="3" fillId="12" borderId="4" xfId="0" applyFont="1" applyFill="1" applyBorder="1" applyAlignment="1" applyProtection="1">
      <alignment horizontal="center" vertical="center"/>
    </xf>
    <xf numFmtId="0" fontId="38" fillId="10" borderId="13" xfId="0" applyFont="1" applyFill="1" applyBorder="1" applyAlignment="1" applyProtection="1">
      <alignment horizontal="left" vertical="center"/>
    </xf>
    <xf numFmtId="0" fontId="8" fillId="0" borderId="0" xfId="0" applyNumberFormat="1" applyFont="1" applyBorder="1" applyAlignment="1" applyProtection="1">
      <alignment horizontal="center" vertical="center"/>
      <protection locked="0"/>
    </xf>
    <xf numFmtId="0" fontId="8" fillId="0" borderId="0" xfId="0" applyNumberFormat="1" applyFont="1" applyBorder="1" applyAlignment="1" applyProtection="1">
      <alignment vertical="center"/>
      <protection locked="0"/>
    </xf>
    <xf numFmtId="166" fontId="8" fillId="0" borderId="0" xfId="0" applyNumberFormat="1" applyFont="1" applyBorder="1" applyAlignment="1" applyProtection="1">
      <alignment horizontal="center" vertical="center"/>
      <protection locked="0"/>
    </xf>
    <xf numFmtId="0" fontId="5" fillId="10" borderId="21" xfId="0" applyNumberFormat="1" applyFont="1" applyFill="1" applyBorder="1" applyAlignment="1" applyProtection="1">
      <alignment horizontal="center" vertical="center"/>
      <protection locked="0"/>
    </xf>
    <xf numFmtId="0" fontId="1" fillId="11" borderId="16" xfId="0" applyNumberFormat="1" applyFont="1" applyFill="1" applyBorder="1" applyAlignment="1" applyProtection="1">
      <alignment horizontal="center" vertical="center"/>
      <protection locked="0"/>
    </xf>
    <xf numFmtId="0" fontId="1" fillId="0" borderId="16" xfId="0" applyNumberFormat="1" applyFont="1" applyBorder="1" applyAlignment="1" applyProtection="1">
      <alignment horizontal="left" vertical="center"/>
      <protection locked="0"/>
    </xf>
    <xf numFmtId="0" fontId="1" fillId="0" borderId="30" xfId="0" applyNumberFormat="1" applyFont="1" applyBorder="1" applyAlignment="1" applyProtection="1">
      <alignment horizontal="left" vertical="center"/>
      <protection locked="0"/>
    </xf>
    <xf numFmtId="0" fontId="5" fillId="0" borderId="23" xfId="0" applyNumberFormat="1" applyFont="1" applyBorder="1" applyAlignment="1" applyProtection="1">
      <alignment horizontal="center" vertical="center"/>
      <protection locked="0"/>
    </xf>
    <xf numFmtId="0" fontId="5" fillId="0" borderId="21" xfId="0" applyNumberFormat="1" applyFont="1" applyBorder="1" applyAlignment="1" applyProtection="1">
      <alignment horizontal="left" vertical="center"/>
      <protection locked="0"/>
    </xf>
    <xf numFmtId="0" fontId="5" fillId="0" borderId="33" xfId="0" applyNumberFormat="1" applyFont="1" applyBorder="1" applyAlignment="1" applyProtection="1">
      <alignment vertical="center"/>
      <protection locked="0"/>
    </xf>
    <xf numFmtId="166" fontId="1" fillId="0" borderId="0" xfId="0" applyNumberFormat="1" applyFont="1" applyBorder="1" applyAlignment="1" applyProtection="1">
      <alignment horizontal="center" vertical="center"/>
      <protection locked="0"/>
    </xf>
    <xf numFmtId="166" fontId="5" fillId="0" borderId="0" xfId="0" applyNumberFormat="1" applyFont="1" applyBorder="1" applyAlignment="1" applyProtection="1">
      <alignment horizontal="center" vertical="center"/>
      <protection locked="0"/>
    </xf>
    <xf numFmtId="0" fontId="5" fillId="0" borderId="0" xfId="0" applyNumberFormat="1" applyFont="1" applyBorder="1" applyAlignment="1" applyProtection="1">
      <alignment vertical="center"/>
      <protection locked="0"/>
    </xf>
    <xf numFmtId="0" fontId="5" fillId="10" borderId="19" xfId="0" applyNumberFormat="1" applyFont="1" applyFill="1" applyBorder="1" applyAlignment="1" applyProtection="1">
      <alignment horizontal="center" vertical="center"/>
      <protection locked="0"/>
    </xf>
    <xf numFmtId="0" fontId="1" fillId="11" borderId="17" xfId="0" applyNumberFormat="1" applyFont="1" applyFill="1" applyBorder="1" applyAlignment="1" applyProtection="1">
      <alignment horizontal="center" vertical="center"/>
      <protection locked="0"/>
    </xf>
    <xf numFmtId="0" fontId="33" fillId="0" borderId="17" xfId="0" applyFont="1" applyFill="1" applyBorder="1" applyAlignment="1" applyProtection="1">
      <alignment horizontal="left" vertical="center"/>
      <protection locked="0"/>
    </xf>
    <xf numFmtId="0" fontId="1" fillId="0" borderId="31" xfId="0" applyNumberFormat="1" applyFont="1" applyFill="1" applyBorder="1" applyAlignment="1" applyProtection="1">
      <alignment horizontal="left" vertical="center"/>
      <protection locked="0"/>
    </xf>
    <xf numFmtId="0" fontId="5" fillId="0" borderId="18" xfId="0" applyNumberFormat="1" applyFont="1" applyFill="1" applyBorder="1" applyAlignment="1" applyProtection="1">
      <alignment horizontal="center" vertical="center"/>
      <protection locked="0"/>
    </xf>
    <xf numFmtId="0" fontId="1" fillId="11" borderId="17" xfId="0" applyFont="1" applyFill="1" applyBorder="1" applyAlignment="1" applyProtection="1">
      <alignment horizontal="center" vertical="center"/>
      <protection locked="0"/>
    </xf>
    <xf numFmtId="0" fontId="5" fillId="0" borderId="19" xfId="0" applyFont="1" applyFill="1" applyBorder="1" applyAlignment="1" applyProtection="1">
      <alignment horizontal="left" vertical="center"/>
      <protection locked="0"/>
    </xf>
    <xf numFmtId="0" fontId="5" fillId="0" borderId="34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vertical="center"/>
      <protection locked="0"/>
    </xf>
    <xf numFmtId="0" fontId="1" fillId="0" borderId="17" xfId="0" applyNumberFormat="1" applyFont="1" applyFill="1" applyBorder="1" applyAlignment="1" applyProtection="1">
      <alignment horizontal="left" vertical="center"/>
      <protection locked="0"/>
    </xf>
    <xf numFmtId="0" fontId="1" fillId="0" borderId="17" xfId="0" applyFont="1" applyFill="1" applyBorder="1" applyAlignment="1" applyProtection="1">
      <alignment horizontal="left" vertical="center"/>
      <protection locked="0"/>
    </xf>
    <xf numFmtId="0" fontId="1" fillId="0" borderId="31" xfId="0" applyFont="1" applyFill="1" applyBorder="1" applyAlignment="1" applyProtection="1">
      <alignment horizontal="left" vertical="center"/>
      <protection locked="0"/>
    </xf>
    <xf numFmtId="0" fontId="5" fillId="0" borderId="19" xfId="0" applyNumberFormat="1" applyFont="1" applyFill="1" applyBorder="1" applyAlignment="1" applyProtection="1">
      <alignment horizontal="left" vertical="center"/>
      <protection locked="0"/>
    </xf>
    <xf numFmtId="0" fontId="5" fillId="11" borderId="17" xfId="0" applyFont="1" applyFill="1" applyBorder="1" applyAlignment="1" applyProtection="1">
      <alignment horizontal="center" vertical="center"/>
      <protection locked="0"/>
    </xf>
    <xf numFmtId="0" fontId="5" fillId="0" borderId="31" xfId="0" applyFont="1" applyFill="1" applyBorder="1" applyAlignment="1" applyProtection="1">
      <alignment horizontal="left" vertical="center"/>
      <protection locked="0"/>
    </xf>
    <xf numFmtId="0" fontId="5" fillId="0" borderId="18" xfId="0" applyFont="1" applyFill="1" applyBorder="1" applyAlignment="1" applyProtection="1">
      <alignment horizontal="center" vertical="center"/>
      <protection locked="0"/>
    </xf>
    <xf numFmtId="0" fontId="5" fillId="11" borderId="17" xfId="0" applyNumberFormat="1" applyFont="1" applyFill="1" applyBorder="1" applyAlignment="1" applyProtection="1">
      <alignment horizontal="center" vertical="center"/>
      <protection locked="0"/>
    </xf>
    <xf numFmtId="0" fontId="1" fillId="0" borderId="20" xfId="0" applyNumberFormat="1" applyFont="1" applyFill="1" applyBorder="1" applyAlignment="1" applyProtection="1">
      <alignment horizontal="left" vertical="center"/>
      <protection locked="0"/>
    </xf>
    <xf numFmtId="0" fontId="5" fillId="0" borderId="31" xfId="0" applyNumberFormat="1" applyFont="1" applyFill="1" applyBorder="1" applyAlignment="1" applyProtection="1">
      <alignment horizontal="left" vertical="center"/>
      <protection locked="0"/>
    </xf>
    <xf numFmtId="0" fontId="1" fillId="10" borderId="19" xfId="0" applyNumberFormat="1" applyFont="1" applyFill="1" applyBorder="1" applyAlignment="1" applyProtection="1">
      <alignment horizontal="center" vertical="center"/>
      <protection locked="0"/>
    </xf>
    <xf numFmtId="0" fontId="1" fillId="0" borderId="19" xfId="0" applyNumberFormat="1" applyFont="1" applyFill="1" applyBorder="1" applyAlignment="1" applyProtection="1">
      <alignment horizontal="left" vertical="center"/>
      <protection locked="0"/>
    </xf>
    <xf numFmtId="0" fontId="1" fillId="0" borderId="19" xfId="0" applyFont="1" applyFill="1" applyBorder="1" applyAlignment="1" applyProtection="1">
      <alignment horizontal="left" vertical="center"/>
      <protection locked="0"/>
    </xf>
    <xf numFmtId="0" fontId="5" fillId="0" borderId="17" xfId="0" applyNumberFormat="1" applyFont="1" applyFill="1" applyBorder="1" applyAlignment="1" applyProtection="1">
      <alignment horizontal="left" vertical="center"/>
      <protection locked="0"/>
    </xf>
    <xf numFmtId="0" fontId="5" fillId="0" borderId="17" xfId="0" applyFont="1" applyFill="1" applyBorder="1" applyAlignment="1" applyProtection="1">
      <alignment horizontal="left" vertical="center"/>
      <protection locked="0"/>
    </xf>
    <xf numFmtId="0" fontId="5" fillId="10" borderId="22" xfId="0" applyNumberFormat="1" applyFont="1" applyFill="1" applyBorder="1" applyAlignment="1" applyProtection="1">
      <alignment horizontal="center" vertical="center"/>
      <protection locked="0"/>
    </xf>
    <xf numFmtId="0" fontId="5" fillId="11" borderId="20" xfId="0" applyNumberFormat="1" applyFont="1" applyFill="1" applyBorder="1" applyAlignment="1" applyProtection="1">
      <alignment horizontal="center" vertical="center"/>
      <protection locked="0"/>
    </xf>
    <xf numFmtId="0" fontId="33" fillId="0" borderId="20" xfId="0" applyFont="1" applyFill="1" applyBorder="1" applyAlignment="1" applyProtection="1">
      <alignment horizontal="left" vertical="center"/>
      <protection locked="0"/>
    </xf>
    <xf numFmtId="0" fontId="5" fillId="0" borderId="22" xfId="0" applyNumberFormat="1" applyFont="1" applyFill="1" applyBorder="1" applyAlignment="1" applyProtection="1">
      <alignment horizontal="left" vertical="center"/>
      <protection locked="0"/>
    </xf>
    <xf numFmtId="0" fontId="5" fillId="0" borderId="24" xfId="0" applyNumberFormat="1" applyFont="1" applyFill="1" applyBorder="1" applyAlignment="1" applyProtection="1">
      <alignment horizontal="center" vertical="center"/>
      <protection locked="0"/>
    </xf>
    <xf numFmtId="0" fontId="5" fillId="11" borderId="20" xfId="0" applyFont="1" applyFill="1" applyBorder="1" applyAlignment="1" applyProtection="1">
      <alignment horizontal="center" vertical="center"/>
      <protection locked="0"/>
    </xf>
    <xf numFmtId="0" fontId="5" fillId="0" borderId="20" xfId="0" applyFont="1" applyFill="1" applyBorder="1" applyAlignment="1" applyProtection="1">
      <alignment horizontal="left" vertical="center"/>
      <protection locked="0"/>
    </xf>
    <xf numFmtId="0" fontId="5" fillId="0" borderId="35" xfId="0" applyNumberFormat="1" applyFont="1" applyFill="1" applyBorder="1" applyAlignment="1" applyProtection="1">
      <alignment vertical="center"/>
      <protection locked="0"/>
    </xf>
    <xf numFmtId="0" fontId="1" fillId="11" borderId="20" xfId="0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left" vertical="center"/>
      <protection locked="0"/>
    </xf>
    <xf numFmtId="0" fontId="1" fillId="0" borderId="22" xfId="0" applyNumberFormat="1" applyFont="1" applyFill="1" applyBorder="1" applyAlignment="1" applyProtection="1">
      <alignment horizontal="left" vertical="center"/>
      <protection locked="0"/>
    </xf>
    <xf numFmtId="0" fontId="5" fillId="0" borderId="22" xfId="0" applyFont="1" applyFill="1" applyBorder="1" applyAlignment="1" applyProtection="1">
      <alignment horizontal="left" vertical="center"/>
      <protection locked="0"/>
    </xf>
    <xf numFmtId="0" fontId="1" fillId="11" borderId="20" xfId="0" applyFont="1" applyFill="1" applyBorder="1" applyAlignment="1" applyProtection="1">
      <alignment horizontal="center" vertical="center"/>
      <protection locked="0"/>
    </xf>
    <xf numFmtId="0" fontId="5" fillId="10" borderId="37" xfId="0" applyNumberFormat="1" applyFont="1" applyFill="1" applyBorder="1" applyAlignment="1" applyProtection="1">
      <alignment horizontal="center" vertical="center"/>
      <protection locked="0"/>
    </xf>
    <xf numFmtId="0" fontId="5" fillId="11" borderId="2" xfId="0" applyNumberFormat="1" applyFont="1" applyFill="1" applyBorder="1" applyAlignment="1" applyProtection="1">
      <alignment horizontal="center" vertical="center"/>
      <protection locked="0"/>
    </xf>
    <xf numFmtId="0" fontId="33" fillId="0" borderId="2" xfId="0" applyFont="1" applyFill="1" applyBorder="1" applyAlignment="1" applyProtection="1">
      <alignment horizontal="left" vertical="center"/>
      <protection locked="0"/>
    </xf>
    <xf numFmtId="0" fontId="5" fillId="0" borderId="37" xfId="0" applyNumberFormat="1" applyFont="1" applyFill="1" applyBorder="1" applyAlignment="1" applyProtection="1">
      <alignment horizontal="left" vertical="center"/>
      <protection locked="0"/>
    </xf>
    <xf numFmtId="0" fontId="5" fillId="0" borderId="38" xfId="0" applyNumberFormat="1" applyFont="1" applyFill="1" applyBorder="1" applyAlignment="1" applyProtection="1">
      <alignment horizontal="center" vertical="center"/>
      <protection locked="0"/>
    </xf>
    <xf numFmtId="0" fontId="5" fillId="11" borderId="2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39" xfId="0" applyNumberFormat="1" applyFont="1" applyFill="1" applyBorder="1" applyAlignment="1" applyProtection="1">
      <alignment vertical="center"/>
      <protection locked="0"/>
    </xf>
    <xf numFmtId="0" fontId="5" fillId="6" borderId="0" xfId="0" applyNumberFormat="1" applyFont="1" applyFill="1" applyBorder="1" applyAlignment="1" applyProtection="1">
      <alignment horizontal="center" vertical="center"/>
      <protection locked="0"/>
    </xf>
    <xf numFmtId="0" fontId="5" fillId="6" borderId="0" xfId="0" applyNumberFormat="1" applyFont="1" applyFill="1" applyBorder="1" applyAlignment="1" applyProtection="1">
      <alignment horizontal="left" vertical="center"/>
      <protection locked="0"/>
    </xf>
    <xf numFmtId="49" fontId="5" fillId="6" borderId="0" xfId="0" applyNumberFormat="1" applyFont="1" applyFill="1" applyBorder="1" applyAlignment="1" applyProtection="1">
      <alignment horizontal="center" vertical="center"/>
      <protection locked="0"/>
    </xf>
    <xf numFmtId="0" fontId="5" fillId="6" borderId="0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0" fontId="5" fillId="6" borderId="0" xfId="0" quotePrefix="1" applyNumberFormat="1" applyFont="1" applyFill="1" applyBorder="1" applyAlignment="1" applyProtection="1">
      <alignment horizontal="left" vertical="center"/>
      <protection locked="0"/>
    </xf>
    <xf numFmtId="0" fontId="5" fillId="6" borderId="0" xfId="0" applyFont="1" applyFill="1" applyBorder="1" applyAlignment="1" applyProtection="1">
      <alignment horizontal="left" vertical="center"/>
      <protection locked="0"/>
    </xf>
    <xf numFmtId="0" fontId="29" fillId="6" borderId="0" xfId="0" applyNumberFormat="1" applyFont="1" applyFill="1" applyBorder="1" applyAlignment="1" applyProtection="1">
      <alignment horizontal="left" vertical="center"/>
      <protection locked="0"/>
    </xf>
    <xf numFmtId="0" fontId="29" fillId="0" borderId="0" xfId="0" applyNumberFormat="1" applyFont="1" applyFill="1" applyBorder="1" applyAlignment="1" applyProtection="1">
      <alignment horizontal="center" vertical="center"/>
      <protection locked="0"/>
    </xf>
    <xf numFmtId="0" fontId="5" fillId="6" borderId="0" xfId="0" applyFont="1" applyFill="1" applyBorder="1" applyAlignment="1" applyProtection="1">
      <alignment horizontal="center" vertical="center"/>
      <protection locked="0"/>
    </xf>
    <xf numFmtId="0" fontId="27" fillId="6" borderId="0" xfId="0" applyNumberFormat="1" applyFont="1" applyFill="1" applyBorder="1" applyAlignment="1" applyProtection="1">
      <alignment horizontal="left" vertical="center"/>
      <protection locked="0"/>
    </xf>
    <xf numFmtId="0" fontId="27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left" vertical="center" shrinkToFit="1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NumberFormat="1" applyFont="1" applyFill="1" applyBorder="1" applyAlignment="1" applyProtection="1">
      <alignment horizontal="left" vertical="center"/>
      <protection locked="0"/>
    </xf>
    <xf numFmtId="0" fontId="5" fillId="0" borderId="0" xfId="0" applyNumberFormat="1" applyFont="1" applyBorder="1" applyAlignment="1" applyProtection="1">
      <alignment horizontal="center" vertical="center"/>
      <protection locked="0"/>
    </xf>
    <xf numFmtId="0" fontId="5" fillId="0" borderId="0" xfId="0" applyNumberFormat="1" applyFont="1" applyBorder="1" applyAlignment="1" applyProtection="1">
      <alignment horizontal="left" vertical="center"/>
      <protection locked="0"/>
    </xf>
    <xf numFmtId="0" fontId="4" fillId="0" borderId="2" xfId="0" quotePrefix="1" applyNumberFormat="1" applyFont="1" applyFill="1" applyBorder="1" applyAlignment="1" applyProtection="1">
      <alignment horizontal="right" vertical="center"/>
    </xf>
    <xf numFmtId="0" fontId="8" fillId="2" borderId="10" xfId="0" applyNumberFormat="1" applyFont="1" applyFill="1" applyBorder="1" applyAlignment="1" applyProtection="1">
      <alignment horizontal="center" vertical="center"/>
    </xf>
    <xf numFmtId="0" fontId="8" fillId="2" borderId="15" xfId="0" applyNumberFormat="1" applyFont="1" applyFill="1" applyBorder="1" applyAlignment="1" applyProtection="1">
      <alignment horizontal="center" vertical="center"/>
    </xf>
    <xf numFmtId="0" fontId="8" fillId="2" borderId="25" xfId="0" applyNumberFormat="1" applyFont="1" applyFill="1" applyBorder="1" applyAlignment="1" applyProtection="1">
      <alignment horizontal="center" vertical="center"/>
    </xf>
    <xf numFmtId="0" fontId="8" fillId="2" borderId="12" xfId="0" applyNumberFormat="1" applyFont="1" applyFill="1" applyBorder="1" applyAlignment="1" applyProtection="1">
      <alignment horizontal="center" vertical="center"/>
    </xf>
    <xf numFmtId="0" fontId="8" fillId="2" borderId="32" xfId="0" applyNumberFormat="1" applyFont="1" applyFill="1" applyBorder="1" applyAlignment="1" applyProtection="1">
      <alignment horizontal="center" vertical="center"/>
    </xf>
    <xf numFmtId="0" fontId="5" fillId="0" borderId="26" xfId="0" applyNumberFormat="1" applyFont="1" applyBorder="1" applyAlignment="1" applyProtection="1">
      <alignment horizontal="center" vertical="center"/>
    </xf>
    <xf numFmtId="0" fontId="5" fillId="0" borderId="27" xfId="0" applyNumberFormat="1" applyFont="1" applyFill="1" applyBorder="1" applyAlignment="1" applyProtection="1">
      <alignment horizontal="center" vertical="center"/>
    </xf>
    <xf numFmtId="0" fontId="5" fillId="0" borderId="28" xfId="0" applyNumberFormat="1" applyFont="1" applyFill="1" applyBorder="1" applyAlignment="1" applyProtection="1">
      <alignment horizontal="center" vertical="center"/>
    </xf>
    <xf numFmtId="0" fontId="5" fillId="0" borderId="36" xfId="0" applyNumberFormat="1" applyFont="1" applyFill="1" applyBorder="1" applyAlignment="1" applyProtection="1">
      <alignment horizontal="center" vertical="center"/>
    </xf>
    <xf numFmtId="0" fontId="35" fillId="0" borderId="0" xfId="0" applyNumberFormat="1" applyFont="1" applyFill="1" applyBorder="1" applyAlignment="1" applyProtection="1">
      <alignment vertical="center"/>
      <protection locked="0"/>
    </xf>
    <xf numFmtId="0" fontId="35" fillId="0" borderId="0" xfId="0" applyNumberFormat="1" applyFont="1" applyFill="1" applyAlignment="1" applyProtection="1">
      <alignment vertical="center"/>
      <protection locked="0"/>
    </xf>
    <xf numFmtId="0" fontId="11" fillId="3" borderId="0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NumberFormat="1" applyFont="1" applyFill="1" applyBorder="1" applyAlignment="1" applyProtection="1">
      <alignment horizontal="right" vertical="center"/>
      <protection locked="0"/>
    </xf>
    <xf numFmtId="0" fontId="11" fillId="0" borderId="0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NumberFormat="1" applyFont="1" applyFill="1" applyAlignment="1" applyProtection="1">
      <alignment vertical="center"/>
      <protection locked="0"/>
    </xf>
    <xf numFmtId="0" fontId="5" fillId="0" borderId="0" xfId="0" applyNumberFormat="1" applyFont="1" applyFill="1" applyAlignment="1" applyProtection="1">
      <alignment vertical="center"/>
      <protection locked="0"/>
    </xf>
    <xf numFmtId="0" fontId="5" fillId="0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NumberFormat="1" applyFont="1" applyFill="1" applyAlignment="1" applyProtection="1">
      <alignment horizontal="left" vertical="center"/>
      <protection locked="0"/>
    </xf>
    <xf numFmtId="0" fontId="9" fillId="0" borderId="0" xfId="0" applyNumberFormat="1" applyFont="1" applyFill="1" applyAlignment="1" applyProtection="1">
      <alignment horizontal="center" vertical="center"/>
      <protection locked="0"/>
    </xf>
    <xf numFmtId="0" fontId="10" fillId="0" borderId="0" xfId="0" applyNumberFormat="1" applyFont="1" applyFill="1" applyAlignment="1" applyProtection="1">
      <alignment horizontal="center" vertical="center"/>
      <protection locked="0"/>
    </xf>
    <xf numFmtId="0" fontId="6" fillId="0" borderId="0" xfId="0" applyNumberFormat="1" applyFont="1" applyFill="1" applyAlignment="1" applyProtection="1">
      <alignment horizontal="center" vertical="center"/>
      <protection locked="0"/>
    </xf>
    <xf numFmtId="0" fontId="12" fillId="0" borderId="0" xfId="0" applyNumberFormat="1" applyFont="1" applyFill="1" applyAlignment="1" applyProtection="1">
      <alignment horizontal="center" vertical="center"/>
      <protection locked="0"/>
    </xf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NumberFormat="1" applyFont="1" applyFill="1" applyBorder="1" applyAlignment="1" applyProtection="1">
      <alignment horizontal="center" vertical="center"/>
      <protection locked="0"/>
    </xf>
    <xf numFmtId="0" fontId="5" fillId="4" borderId="0" xfId="0" applyNumberFormat="1" applyFont="1" applyFill="1" applyAlignment="1" applyProtection="1">
      <alignment horizontal="center" vertical="center"/>
      <protection locked="0"/>
    </xf>
    <xf numFmtId="0" fontId="22" fillId="4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NumberFormat="1" applyFont="1" applyFill="1" applyAlignment="1" applyProtection="1">
      <alignment horizontal="center" vertical="center"/>
      <protection locked="0"/>
    </xf>
    <xf numFmtId="0" fontId="13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9" fillId="0" borderId="1" xfId="0" applyNumberFormat="1" applyFont="1" applyFill="1" applyBorder="1" applyAlignment="1" applyProtection="1">
      <alignment horizontal="left" vertical="center"/>
      <protection locked="0"/>
    </xf>
    <xf numFmtId="0" fontId="13" fillId="0" borderId="0" xfId="0" applyNumberFormat="1" applyFont="1" applyFill="1" applyBorder="1" applyAlignment="1" applyProtection="1">
      <alignment vertical="center"/>
      <protection locked="0"/>
    </xf>
    <xf numFmtId="0" fontId="13" fillId="0" borderId="0" xfId="0" applyNumberFormat="1" applyFont="1" applyFill="1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9" fillId="0" borderId="2" xfId="0" applyNumberFormat="1" applyFont="1" applyFill="1" applyBorder="1" applyAlignment="1" applyProtection="1">
      <alignment horizontal="left" vertical="center"/>
      <protection locked="0"/>
    </xf>
    <xf numFmtId="0" fontId="11" fillId="3" borderId="2" xfId="0" applyNumberFormat="1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alignment horizontal="center" vertical="center"/>
      <protection locked="0"/>
    </xf>
    <xf numFmtId="0" fontId="17" fillId="8" borderId="1" xfId="0" applyFont="1" applyFill="1" applyBorder="1" applyAlignment="1" applyProtection="1">
      <alignment horizontal="center" vertical="center"/>
      <protection locked="0"/>
    </xf>
    <xf numFmtId="0" fontId="17" fillId="4" borderId="1" xfId="0" applyFont="1" applyFill="1" applyBorder="1" applyAlignment="1" applyProtection="1">
      <alignment horizontal="left" vertical="center"/>
      <protection locked="0"/>
    </xf>
    <xf numFmtId="0" fontId="17" fillId="8" borderId="1" xfId="0" applyFont="1" applyFill="1" applyBorder="1" applyAlignment="1" applyProtection="1">
      <alignment horizontal="left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left" vertical="center"/>
      <protection locked="0"/>
    </xf>
    <xf numFmtId="0" fontId="5" fillId="0" borderId="4" xfId="0" applyNumberFormat="1" applyFont="1" applyFill="1" applyBorder="1" applyAlignment="1" applyProtection="1">
      <alignment horizontal="left" vertical="center"/>
      <protection locked="0"/>
    </xf>
    <xf numFmtId="0" fontId="5" fillId="7" borderId="2" xfId="0" applyFont="1" applyFill="1" applyBorder="1" applyAlignment="1" applyProtection="1">
      <alignment horizontal="center" vertical="center"/>
      <protection locked="0"/>
    </xf>
    <xf numFmtId="0" fontId="17" fillId="8" borderId="2" xfId="0" applyFont="1" applyFill="1" applyBorder="1" applyAlignment="1" applyProtection="1">
      <alignment horizontal="center" vertical="center"/>
      <protection locked="0"/>
    </xf>
    <xf numFmtId="0" fontId="17" fillId="4" borderId="2" xfId="0" applyFont="1" applyFill="1" applyBorder="1" applyAlignment="1" applyProtection="1">
      <alignment horizontal="left" vertical="center"/>
      <protection locked="0"/>
    </xf>
    <xf numFmtId="0" fontId="17" fillId="8" borderId="2" xfId="0" applyFont="1" applyFill="1" applyBorder="1" applyAlignment="1" applyProtection="1">
      <alignment horizontal="left" vertical="center"/>
      <protection locked="0"/>
    </xf>
    <xf numFmtId="0" fontId="5" fillId="0" borderId="5" xfId="0" applyNumberFormat="1" applyFont="1" applyFill="1" applyBorder="1" applyAlignment="1" applyProtection="1">
      <alignment horizontal="left" vertical="center"/>
      <protection locked="0"/>
    </xf>
    <xf numFmtId="0" fontId="11" fillId="3" borderId="9" xfId="0" applyNumberFormat="1" applyFont="1" applyFill="1" applyBorder="1" applyAlignment="1" applyProtection="1">
      <alignment horizontal="center" vertical="center"/>
      <protection locked="0"/>
    </xf>
    <xf numFmtId="0" fontId="5" fillId="10" borderId="1" xfId="0" applyFont="1" applyFill="1" applyBorder="1" applyAlignment="1" applyProtection="1">
      <alignment horizontal="center" vertical="center"/>
      <protection locked="0"/>
    </xf>
    <xf numFmtId="0" fontId="17" fillId="10" borderId="1" xfId="0" applyFont="1" applyFill="1" applyBorder="1" applyAlignment="1" applyProtection="1">
      <alignment horizontal="center" vertical="center"/>
      <protection locked="0"/>
    </xf>
    <xf numFmtId="0" fontId="17" fillId="10" borderId="1" xfId="0" applyFont="1" applyFill="1" applyBorder="1" applyAlignment="1" applyProtection="1">
      <alignment horizontal="left" vertical="center"/>
      <protection locked="0"/>
    </xf>
    <xf numFmtId="0" fontId="9" fillId="10" borderId="1" xfId="0" applyNumberFormat="1" applyFont="1" applyFill="1" applyBorder="1" applyAlignment="1" applyProtection="1">
      <alignment horizontal="left" vertical="center"/>
      <protection locked="0"/>
    </xf>
    <xf numFmtId="0" fontId="11" fillId="0" borderId="6" xfId="0" applyNumberFormat="1" applyFont="1" applyFill="1" applyBorder="1" applyAlignment="1" applyProtection="1">
      <alignment horizontal="center" vertical="center"/>
      <protection locked="0"/>
    </xf>
    <xf numFmtId="0" fontId="5" fillId="10" borderId="2" xfId="0" applyFont="1" applyFill="1" applyBorder="1" applyAlignment="1" applyProtection="1">
      <alignment horizontal="center" vertical="center"/>
      <protection locked="0"/>
    </xf>
    <xf numFmtId="0" fontId="17" fillId="10" borderId="2" xfId="0" applyFont="1" applyFill="1" applyBorder="1" applyAlignment="1" applyProtection="1">
      <alignment horizontal="center" vertical="center"/>
      <protection locked="0"/>
    </xf>
    <xf numFmtId="0" fontId="17" fillId="10" borderId="2" xfId="0" applyFont="1" applyFill="1" applyBorder="1" applyAlignment="1" applyProtection="1">
      <alignment horizontal="left" vertical="center"/>
      <protection locked="0"/>
    </xf>
    <xf numFmtId="0" fontId="5" fillId="10" borderId="2" xfId="0" applyNumberFormat="1" applyFont="1" applyFill="1" applyBorder="1" applyAlignment="1" applyProtection="1">
      <alignment horizontal="center" vertical="center"/>
      <protection locked="0"/>
    </xf>
    <xf numFmtId="0" fontId="5" fillId="10" borderId="2" xfId="0" applyNumberFormat="1" applyFont="1" applyFill="1" applyBorder="1" applyAlignment="1" applyProtection="1">
      <alignment horizontal="left" vertical="center"/>
      <protection locked="0"/>
    </xf>
    <xf numFmtId="0" fontId="9" fillId="10" borderId="2" xfId="0" applyNumberFormat="1" applyFont="1" applyFill="1" applyBorder="1" applyAlignment="1" applyProtection="1">
      <alignment horizontal="left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1" xfId="0" applyFont="1" applyFill="1" applyBorder="1" applyAlignment="1" applyProtection="1">
      <alignment horizontal="left" vertical="center"/>
      <protection locked="0"/>
    </xf>
    <xf numFmtId="0" fontId="11" fillId="0" borderId="3" xfId="0" applyNumberFormat="1" applyFont="1" applyFill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2" xfId="0" applyFont="1" applyFill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/>
      <protection locked="0"/>
    </xf>
    <xf numFmtId="0" fontId="5" fillId="0" borderId="4" xfId="0" applyNumberFormat="1" applyFont="1" applyFill="1" applyBorder="1" applyAlignment="1" applyProtection="1">
      <alignment horizontal="center" vertical="center"/>
      <protection locked="0"/>
    </xf>
    <xf numFmtId="0" fontId="5" fillId="9" borderId="2" xfId="0" applyFont="1" applyFill="1" applyBorder="1" applyAlignment="1" applyProtection="1">
      <alignment horizontal="center" vertical="center"/>
      <protection locked="0"/>
    </xf>
    <xf numFmtId="0" fontId="5" fillId="0" borderId="5" xfId="0" applyNumberFormat="1" applyFont="1" applyFill="1" applyBorder="1" applyAlignment="1" applyProtection="1">
      <alignment horizontal="center" vertical="center"/>
      <protection locked="0"/>
    </xf>
    <xf numFmtId="0" fontId="17" fillId="9" borderId="2" xfId="0" applyFont="1" applyFill="1" applyBorder="1" applyAlignment="1" applyProtection="1">
      <alignment horizontal="center" vertical="center"/>
      <protection locked="0"/>
    </xf>
    <xf numFmtId="0" fontId="9" fillId="10" borderId="2" xfId="0" applyNumberFormat="1" applyFont="1" applyFill="1" applyBorder="1" applyAlignment="1" applyProtection="1">
      <alignment vertical="center"/>
      <protection locked="0"/>
    </xf>
    <xf numFmtId="0" fontId="5" fillId="11" borderId="4" xfId="0" applyNumberFormat="1" applyFont="1" applyFill="1" applyBorder="1" applyAlignment="1" applyProtection="1">
      <alignment horizontal="center" vertical="center"/>
      <protection locked="0"/>
    </xf>
    <xf numFmtId="0" fontId="26" fillId="0" borderId="0" xfId="0" applyNumberFormat="1" applyFont="1" applyFill="1" applyBorder="1" applyAlignment="1" applyProtection="1">
      <alignment horizontal="left" vertical="center"/>
      <protection locked="0"/>
    </xf>
    <xf numFmtId="0" fontId="25" fillId="0" borderId="0" xfId="0" quotePrefix="1" applyNumberFormat="1" applyFont="1" applyFill="1" applyBorder="1" applyAlignment="1" applyProtection="1">
      <alignment vertical="center"/>
      <protection locked="0"/>
    </xf>
    <xf numFmtId="0" fontId="29" fillId="0" borderId="0" xfId="0" applyNumberFormat="1" applyFont="1" applyFill="1" applyBorder="1" applyAlignment="1" applyProtection="1">
      <alignment horizontal="left" vertical="center"/>
      <protection locked="0"/>
    </xf>
    <xf numFmtId="0" fontId="27" fillId="0" borderId="0" xfId="0" applyNumberFormat="1" applyFont="1" applyFill="1" applyBorder="1" applyAlignment="1" applyProtection="1">
      <alignment horizontal="left" vertical="center"/>
      <protection locked="0"/>
    </xf>
    <xf numFmtId="0" fontId="5" fillId="10" borderId="2" xfId="0" applyNumberFormat="1" applyFont="1" applyFill="1" applyBorder="1" applyAlignment="1" applyProtection="1">
      <alignment vertical="center"/>
      <protection locked="0"/>
    </xf>
    <xf numFmtId="0" fontId="25" fillId="0" borderId="0" xfId="0" applyNumberFormat="1" applyFont="1" applyFill="1" applyAlignment="1" applyProtection="1">
      <alignment vertical="center"/>
      <protection locked="0"/>
    </xf>
    <xf numFmtId="0" fontId="11" fillId="0" borderId="0" xfId="0" applyNumberFormat="1" applyFont="1" applyFill="1" applyAlignment="1" applyProtection="1">
      <alignment horizontal="center" vertical="center"/>
      <protection locked="0"/>
    </xf>
    <xf numFmtId="0" fontId="28" fillId="0" borderId="0" xfId="0" applyNumberFormat="1" applyFont="1" applyFill="1" applyBorder="1" applyAlignment="1" applyProtection="1">
      <alignment vertical="center"/>
      <protection locked="0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0" fontId="5" fillId="10" borderId="1" xfId="0" applyNumberFormat="1" applyFont="1" applyFill="1" applyBorder="1" applyAlignment="1" applyProtection="1">
      <alignment horizontal="center" vertical="center"/>
    </xf>
    <xf numFmtId="0" fontId="5" fillId="10" borderId="2" xfId="0" applyNumberFormat="1" applyFont="1" applyFill="1" applyBorder="1" applyAlignment="1" applyProtection="1">
      <alignment horizontal="center" vertical="center"/>
    </xf>
    <xf numFmtId="0" fontId="8" fillId="10" borderId="1" xfId="0" applyNumberFormat="1" applyFont="1" applyFill="1" applyBorder="1" applyAlignment="1" applyProtection="1">
      <alignment horizontal="center" vertical="center"/>
    </xf>
    <xf numFmtId="0" fontId="8" fillId="10" borderId="2" xfId="0" applyNumberFormat="1" applyFont="1" applyFill="1" applyBorder="1" applyAlignment="1" applyProtection="1">
      <alignment horizontal="center" vertical="center"/>
    </xf>
    <xf numFmtId="0" fontId="8" fillId="0" borderId="4" xfId="0" quotePrefix="1" applyNumberFormat="1" applyFont="1" applyFill="1" applyBorder="1" applyAlignment="1" applyProtection="1">
      <alignment horizontal="left" vertical="center"/>
    </xf>
    <xf numFmtId="0" fontId="8" fillId="0" borderId="7" xfId="0" quotePrefix="1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7" xfId="0" applyNumberFormat="1" applyFont="1" applyFill="1" applyBorder="1" applyAlignment="1" applyProtection="1">
      <alignment horizontal="left" vertical="center"/>
    </xf>
    <xf numFmtId="0" fontId="1" fillId="10" borderId="4" xfId="0" applyNumberFormat="1" applyFont="1" applyFill="1" applyBorder="1" applyAlignment="1" applyProtection="1">
      <alignment horizontal="left" vertical="center"/>
    </xf>
    <xf numFmtId="0" fontId="1" fillId="10" borderId="7" xfId="0" applyNumberFormat="1" applyFont="1" applyFill="1" applyBorder="1" applyAlignment="1" applyProtection="1">
      <alignment horizontal="left" vertical="center"/>
    </xf>
    <xf numFmtId="0" fontId="8" fillId="10" borderId="4" xfId="0" applyNumberFormat="1" applyFont="1" applyFill="1" applyBorder="1" applyAlignment="1" applyProtection="1">
      <alignment horizontal="left" vertical="center"/>
    </xf>
    <xf numFmtId="0" fontId="8" fillId="10" borderId="7" xfId="0" applyNumberFormat="1" applyFont="1" applyFill="1" applyBorder="1" applyAlignment="1" applyProtection="1">
      <alignment horizontal="left" vertical="center"/>
    </xf>
    <xf numFmtId="0" fontId="8" fillId="0" borderId="4" xfId="0" applyNumberFormat="1" applyFont="1" applyFill="1" applyBorder="1" applyAlignment="1" applyProtection="1">
      <alignment horizontal="left" vertical="center"/>
    </xf>
    <xf numFmtId="0" fontId="8" fillId="0" borderId="7" xfId="0" applyNumberFormat="1" applyFont="1" applyFill="1" applyBorder="1" applyAlignment="1" applyProtection="1">
      <alignment horizontal="left" vertical="center"/>
    </xf>
    <xf numFmtId="0" fontId="8" fillId="10" borderId="7" xfId="0" applyNumberFormat="1" applyFont="1" applyFill="1" applyBorder="1" applyAlignment="1" applyProtection="1">
      <alignment vertical="center"/>
    </xf>
    <xf numFmtId="0" fontId="34" fillId="0" borderId="0" xfId="0" applyNumberFormat="1" applyFont="1" applyFill="1" applyBorder="1" applyAlignment="1" applyProtection="1">
      <alignment vertical="center"/>
    </xf>
    <xf numFmtId="0" fontId="36" fillId="2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5" fillId="0" borderId="7" xfId="0" applyNumberFormat="1" applyFont="1" applyFill="1" applyBorder="1" applyAlignment="1" applyProtection="1">
      <alignment horizontal="left" vertical="center"/>
    </xf>
    <xf numFmtId="0" fontId="5" fillId="0" borderId="5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11" borderId="5" xfId="0" applyNumberFormat="1" applyFont="1" applyFill="1" applyBorder="1" applyAlignment="1" applyProtection="1">
      <alignment horizontal="center" vertical="center"/>
    </xf>
    <xf numFmtId="0" fontId="5" fillId="11" borderId="7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left" vertical="center"/>
    </xf>
    <xf numFmtId="0" fontId="5" fillId="10" borderId="4" xfId="0" applyNumberFormat="1" applyFont="1" applyFill="1" applyBorder="1" applyAlignment="1" applyProtection="1">
      <alignment horizontal="left" vertical="center"/>
    </xf>
    <xf numFmtId="0" fontId="5" fillId="10" borderId="7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left" vertical="center"/>
      <protection locked="0"/>
    </xf>
    <xf numFmtId="0" fontId="3" fillId="0" borderId="3" xfId="0" quotePrefix="1" applyNumberFormat="1" applyFont="1" applyBorder="1" applyAlignment="1" applyProtection="1">
      <alignment horizontal="center" vertical="center"/>
      <protection locked="0"/>
    </xf>
    <xf numFmtId="0" fontId="3" fillId="0" borderId="9" xfId="0" quotePrefix="1" applyNumberFormat="1" applyFont="1" applyBorder="1" applyAlignment="1" applyProtection="1">
      <alignment horizontal="center" vertical="center"/>
      <protection locked="0"/>
    </xf>
    <xf numFmtId="0" fontId="3" fillId="0" borderId="6" xfId="0" quotePrefix="1" applyNumberFormat="1" applyFont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0" fontId="4" fillId="0" borderId="9" xfId="0" applyNumberFormat="1" applyFont="1" applyBorder="1" applyAlignment="1" applyProtection="1">
      <alignment horizontal="left" vertical="center"/>
    </xf>
    <xf numFmtId="0" fontId="4" fillId="0" borderId="2" xfId="0" applyNumberFormat="1" applyFont="1" applyBorder="1" applyAlignment="1" applyProtection="1">
      <alignment horizontal="left" vertical="center"/>
    </xf>
    <xf numFmtId="0" fontId="17" fillId="10" borderId="1" xfId="0" applyNumberFormat="1" applyFont="1" applyFill="1" applyBorder="1" applyAlignment="1" applyProtection="1">
      <alignment horizontal="center" vertical="center"/>
      <protection locked="0"/>
    </xf>
    <xf numFmtId="0" fontId="17" fillId="10" borderId="2" xfId="0" applyNumberFormat="1" applyFont="1" applyFill="1" applyBorder="1" applyAlignment="1" applyProtection="1">
      <alignment horizontal="center" vertical="center"/>
      <protection locked="0"/>
    </xf>
    <xf numFmtId="0" fontId="39" fillId="0" borderId="0" xfId="0" applyNumberFormat="1" applyFont="1" applyBorder="1" applyAlignment="1" applyProtection="1">
      <alignment horizontal="left" vertical="center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2" xfId="0" applyNumberFormat="1" applyFont="1" applyFill="1" applyBorder="1" applyAlignment="1" applyProtection="1">
      <alignment horizontal="center" vertical="center"/>
      <protection locked="0"/>
    </xf>
    <xf numFmtId="0" fontId="17" fillId="0" borderId="3" xfId="0" applyNumberFormat="1" applyFont="1" applyFill="1" applyBorder="1" applyAlignment="1" applyProtection="1">
      <alignment horizontal="center" vertical="center"/>
    </xf>
    <xf numFmtId="0" fontId="17" fillId="0" borderId="9" xfId="0" applyNumberFormat="1" applyFont="1" applyFill="1" applyBorder="1" applyAlignment="1" applyProtection="1">
      <alignment horizontal="center" vertical="center"/>
    </xf>
    <xf numFmtId="0" fontId="17" fillId="10" borderId="3" xfId="0" applyNumberFormat="1" applyFont="1" applyFill="1" applyBorder="1" applyAlignment="1" applyProtection="1">
      <alignment horizontal="center" vertical="center"/>
    </xf>
    <xf numFmtId="0" fontId="17" fillId="10" borderId="9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left" vertical="center"/>
      <protection locked="0"/>
    </xf>
  </cellXfs>
  <cellStyles count="1">
    <cellStyle name="Κανονικό" xfId="0" builtinId="0"/>
  </cellStyles>
  <dxfs count="67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L70"/>
  <sheetViews>
    <sheetView showGridLines="0" zoomScale="115" zoomScaleNormal="115" workbookViewId="0">
      <selection activeCell="B24" sqref="B24"/>
    </sheetView>
  </sheetViews>
  <sheetFormatPr defaultColWidth="8.85546875" defaultRowHeight="12"/>
  <cols>
    <col min="1" max="1" width="20.7109375" style="70" customWidth="1"/>
    <col min="2" max="2" width="30.7109375" style="71" customWidth="1"/>
    <col min="3" max="3" width="8.85546875" style="61" customWidth="1"/>
    <col min="4" max="4" width="6" style="83" hidden="1" customWidth="1"/>
    <col min="5" max="5" width="4.42578125" style="83" hidden="1" customWidth="1"/>
    <col min="6" max="6" width="4.42578125" style="84" hidden="1" customWidth="1"/>
    <col min="7" max="7" width="1.7109375" style="65" hidden="1" customWidth="1"/>
    <col min="8" max="8" width="2.7109375" style="99" hidden="1" customWidth="1"/>
    <col min="9" max="9" width="4.42578125" style="71" hidden="1" customWidth="1"/>
    <col min="10" max="10" width="6" style="71" hidden="1" customWidth="1"/>
    <col min="11" max="11" width="4.7109375" style="65" hidden="1" customWidth="1"/>
    <col min="12" max="12" width="5" style="65" hidden="1" customWidth="1"/>
    <col min="13" max="16384" width="8.85546875" style="65"/>
  </cols>
  <sheetData>
    <row r="1" spans="1:12" ht="15.75">
      <c r="A1" s="323" t="s">
        <v>41</v>
      </c>
      <c r="B1" s="323"/>
      <c r="D1" s="62" t="s">
        <v>16</v>
      </c>
      <c r="E1" s="63" t="s">
        <v>10</v>
      </c>
      <c r="F1" s="64"/>
      <c r="H1" s="62">
        <v>0</v>
      </c>
      <c r="I1" s="66" t="s">
        <v>10</v>
      </c>
      <c r="J1" s="67" t="s">
        <v>17</v>
      </c>
      <c r="K1" s="68" t="s">
        <v>20</v>
      </c>
      <c r="L1" s="69" t="s">
        <v>21</v>
      </c>
    </row>
    <row r="2" spans="1:12">
      <c r="A2" s="109"/>
      <c r="B2" s="115"/>
      <c r="D2" s="320" t="s">
        <v>11</v>
      </c>
      <c r="E2" s="72">
        <f>VALUE(LEFT(F2,1))</f>
        <v>4</v>
      </c>
      <c r="F2" s="73" t="s">
        <v>104</v>
      </c>
      <c r="H2" s="74">
        <f t="shared" ref="H2:H33" si="0">IF(I2="-","-",IF(I2&gt;0,H1+1,0))</f>
        <v>0</v>
      </c>
      <c r="I2" s="75">
        <f>IF(J2&gt;0,VALUE(MID($A$32,1,J2-1)),"-")</f>
        <v>0</v>
      </c>
      <c r="J2" s="76">
        <f>IF(LEN($A$32)&gt;1,FIND(" ",$A$32,1),0)</f>
        <v>2</v>
      </c>
      <c r="K2" s="77">
        <v>0</v>
      </c>
      <c r="L2" s="78">
        <v>0</v>
      </c>
    </row>
    <row r="3" spans="1:12" ht="12.75">
      <c r="A3" s="109" t="s">
        <v>3</v>
      </c>
      <c r="B3" s="57" t="s">
        <v>57</v>
      </c>
      <c r="D3" s="321"/>
      <c r="E3" s="79">
        <f>VALUE(RIGHT(F2,1))</f>
        <v>3</v>
      </c>
      <c r="F3" s="64"/>
      <c r="H3" s="74">
        <f t="shared" si="0"/>
        <v>0</v>
      </c>
      <c r="I3" s="75">
        <f t="shared" ref="I3:I33" si="1">IF(J3&gt;0,VALUE(MID($A$32,J2+1,J3-J2-1)),"-")</f>
        <v>0</v>
      </c>
      <c r="J3" s="76">
        <f t="shared" ref="J3:J33" si="2">IF(AND(J2&gt;0,LEN($A$32)&gt;J2+1),FIND(" ",$A$32,J2+1),0)</f>
        <v>4</v>
      </c>
      <c r="K3" s="77">
        <v>0</v>
      </c>
      <c r="L3" s="78">
        <v>0</v>
      </c>
    </row>
    <row r="4" spans="1:12" ht="12.75">
      <c r="A4" s="109" t="s">
        <v>4</v>
      </c>
      <c r="B4" s="58" t="s">
        <v>103</v>
      </c>
      <c r="D4" s="62" t="s">
        <v>16</v>
      </c>
      <c r="E4" s="63" t="s">
        <v>10</v>
      </c>
      <c r="F4" s="64"/>
      <c r="H4" s="74">
        <f t="shared" si="0"/>
        <v>0</v>
      </c>
      <c r="I4" s="75">
        <f t="shared" si="1"/>
        <v>0</v>
      </c>
      <c r="J4" s="76">
        <f t="shared" si="2"/>
        <v>6</v>
      </c>
      <c r="K4" s="77">
        <v>0</v>
      </c>
      <c r="L4" s="78">
        <v>0</v>
      </c>
    </row>
    <row r="5" spans="1:12">
      <c r="A5" s="54" t="s">
        <v>54</v>
      </c>
      <c r="B5" s="56"/>
      <c r="D5" s="320" t="s">
        <v>27</v>
      </c>
      <c r="E5" s="72" t="str">
        <f>TRIM(LEFT(F5,(FIND(" ",F5,1)-1)))</f>
        <v>8</v>
      </c>
      <c r="F5" s="73" t="s">
        <v>105</v>
      </c>
      <c r="H5" s="74">
        <f t="shared" si="0"/>
        <v>0</v>
      </c>
      <c r="I5" s="75">
        <f t="shared" si="1"/>
        <v>0</v>
      </c>
      <c r="J5" s="76">
        <f t="shared" si="2"/>
        <v>8</v>
      </c>
      <c r="K5" s="77">
        <v>0</v>
      </c>
      <c r="L5" s="78">
        <v>0</v>
      </c>
    </row>
    <row r="6" spans="1:12" ht="13.15" customHeight="1">
      <c r="A6" s="109" t="s">
        <v>5</v>
      </c>
      <c r="B6" s="58"/>
      <c r="D6" s="322"/>
      <c r="E6" s="80" t="str">
        <f>TRIM(MID(F5,(FIND(" ",F5,1)),FIND(" ",F5,(FIND(" ",F5,1)+1))-(FIND(" ",F5,1))))</f>
        <v>7</v>
      </c>
      <c r="F6" s="64"/>
      <c r="H6" s="74">
        <f t="shared" si="0"/>
        <v>0</v>
      </c>
      <c r="I6" s="75">
        <f t="shared" si="1"/>
        <v>0</v>
      </c>
      <c r="J6" s="76">
        <f t="shared" si="2"/>
        <v>10</v>
      </c>
      <c r="K6" s="77">
        <v>0</v>
      </c>
      <c r="L6" s="78">
        <v>0</v>
      </c>
    </row>
    <row r="7" spans="1:12" ht="13.15" customHeight="1">
      <c r="A7" s="109" t="s">
        <v>56</v>
      </c>
      <c r="B7" s="58" t="s">
        <v>102</v>
      </c>
      <c r="D7" s="322"/>
      <c r="E7" s="81" t="str">
        <f>TRIM(MID(F5, (FIND(" ",F5,(FIND(" ",F5,1)+1))+1), (FIND(" ",F5,(FIND(" ",F5,(FIND(" ",F5,1)+1))+1)))-(FIND(" ",F5,(FIND(" ",F5,1)+1))+1)))</f>
        <v>5</v>
      </c>
      <c r="F7" s="64"/>
      <c r="G7" s="82"/>
      <c r="H7" s="74">
        <f t="shared" si="0"/>
        <v>0</v>
      </c>
      <c r="I7" s="75">
        <f t="shared" si="1"/>
        <v>0</v>
      </c>
      <c r="J7" s="76">
        <f t="shared" si="2"/>
        <v>12</v>
      </c>
      <c r="K7" s="77">
        <v>0</v>
      </c>
      <c r="L7" s="78">
        <v>0</v>
      </c>
    </row>
    <row r="8" spans="1:12" ht="12.75">
      <c r="A8" s="109" t="s">
        <v>0</v>
      </c>
      <c r="B8" s="59"/>
      <c r="D8" s="321"/>
      <c r="E8" s="79" t="str">
        <f>TRIM(RIGHT(F5,LEN(F5)-(FIND(" ",F5,(FIND(" ",F5,(FIND(" ",F5,1)+1))+1)))))</f>
        <v>6</v>
      </c>
      <c r="F8" s="64"/>
      <c r="H8" s="74">
        <f t="shared" si="0"/>
        <v>0</v>
      </c>
      <c r="I8" s="75">
        <f t="shared" si="1"/>
        <v>0</v>
      </c>
      <c r="J8" s="76">
        <f t="shared" si="2"/>
        <v>14</v>
      </c>
      <c r="K8" s="77">
        <v>0</v>
      </c>
      <c r="L8" s="78">
        <v>0</v>
      </c>
    </row>
    <row r="9" spans="1:12" ht="12.75">
      <c r="A9" s="109" t="s">
        <v>1</v>
      </c>
      <c r="B9" s="59"/>
      <c r="C9" s="65"/>
      <c r="E9" s="65"/>
      <c r="H9" s="74">
        <f t="shared" si="0"/>
        <v>0</v>
      </c>
      <c r="I9" s="75">
        <f t="shared" si="1"/>
        <v>0</v>
      </c>
      <c r="J9" s="76">
        <f t="shared" si="2"/>
        <v>16</v>
      </c>
      <c r="K9" s="77">
        <v>0</v>
      </c>
      <c r="L9" s="78">
        <v>0</v>
      </c>
    </row>
    <row r="10" spans="1:12" ht="12.75">
      <c r="A10" s="109" t="s">
        <v>2</v>
      </c>
      <c r="B10" s="58"/>
      <c r="C10" s="65"/>
      <c r="D10" s="65"/>
      <c r="E10" s="65"/>
      <c r="F10" s="65"/>
      <c r="H10" s="74">
        <f t="shared" si="0"/>
        <v>0</v>
      </c>
      <c r="I10" s="75">
        <f t="shared" si="1"/>
        <v>0</v>
      </c>
      <c r="J10" s="76">
        <f t="shared" si="2"/>
        <v>18</v>
      </c>
      <c r="K10" s="77">
        <v>0</v>
      </c>
      <c r="L10" s="78">
        <v>0</v>
      </c>
    </row>
    <row r="11" spans="1:12" ht="12.75">
      <c r="A11" s="109" t="s">
        <v>15</v>
      </c>
      <c r="B11" s="60"/>
      <c r="C11" s="65"/>
      <c r="H11" s="74">
        <f t="shared" si="0"/>
        <v>1</v>
      </c>
      <c r="I11" s="75">
        <f t="shared" si="1"/>
        <v>1</v>
      </c>
      <c r="J11" s="76">
        <f t="shared" si="2"/>
        <v>20</v>
      </c>
      <c r="K11" s="77">
        <v>1</v>
      </c>
      <c r="L11" s="78">
        <v>1</v>
      </c>
    </row>
    <row r="12" spans="1:12">
      <c r="A12" s="109"/>
      <c r="B12" s="113"/>
      <c r="C12" s="65"/>
      <c r="H12" s="74">
        <f t="shared" si="0"/>
        <v>2</v>
      </c>
      <c r="I12" s="75">
        <f t="shared" si="1"/>
        <v>2</v>
      </c>
      <c r="J12" s="76">
        <f t="shared" si="2"/>
        <v>22</v>
      </c>
      <c r="K12" s="77">
        <v>2</v>
      </c>
      <c r="L12" s="78">
        <v>2</v>
      </c>
    </row>
    <row r="13" spans="1:12">
      <c r="A13" s="109"/>
      <c r="B13" s="115"/>
      <c r="C13" s="65"/>
      <c r="H13" s="74">
        <f t="shared" si="0"/>
        <v>3</v>
      </c>
      <c r="I13" s="75">
        <f t="shared" si="1"/>
        <v>3</v>
      </c>
      <c r="J13" s="76">
        <f t="shared" si="2"/>
        <v>24</v>
      </c>
      <c r="K13" s="77">
        <v>3</v>
      </c>
      <c r="L13" s="78">
        <v>3</v>
      </c>
    </row>
    <row r="14" spans="1:12">
      <c r="A14" s="109"/>
      <c r="B14" s="115"/>
      <c r="C14" s="65"/>
      <c r="H14" s="74">
        <f t="shared" si="0"/>
        <v>4</v>
      </c>
      <c r="I14" s="75">
        <f t="shared" si="1"/>
        <v>4</v>
      </c>
      <c r="J14" s="76">
        <f t="shared" si="2"/>
        <v>26</v>
      </c>
      <c r="K14" s="77">
        <v>4</v>
      </c>
      <c r="L14" s="78">
        <v>4</v>
      </c>
    </row>
    <row r="15" spans="1:12">
      <c r="A15" s="109"/>
      <c r="B15" s="115"/>
      <c r="C15" s="65"/>
      <c r="H15" s="74">
        <f t="shared" si="0"/>
        <v>5</v>
      </c>
      <c r="I15" s="75">
        <f t="shared" si="1"/>
        <v>5</v>
      </c>
      <c r="J15" s="76">
        <f t="shared" si="2"/>
        <v>28</v>
      </c>
      <c r="K15" s="77">
        <v>5</v>
      </c>
      <c r="L15" s="78">
        <v>5</v>
      </c>
    </row>
    <row r="16" spans="1:12">
      <c r="A16" s="109"/>
      <c r="B16" s="115"/>
      <c r="C16" s="65"/>
      <c r="H16" s="74">
        <f t="shared" si="0"/>
        <v>6</v>
      </c>
      <c r="I16" s="75">
        <f t="shared" si="1"/>
        <v>6</v>
      </c>
      <c r="J16" s="76">
        <f t="shared" si="2"/>
        <v>30</v>
      </c>
      <c r="K16" s="77">
        <v>6</v>
      </c>
      <c r="L16" s="78">
        <v>6</v>
      </c>
    </row>
    <row r="17" spans="1:12" ht="12.75">
      <c r="A17" s="52" t="s">
        <v>51</v>
      </c>
      <c r="B17" s="116" t="str">
        <f>"(" &amp; COUNTBLANK(DrawPrep!D3:D34)&amp;")"</f>
        <v>(9)</v>
      </c>
      <c r="C17" s="65"/>
      <c r="H17" s="74">
        <f t="shared" si="0"/>
        <v>7</v>
      </c>
      <c r="I17" s="75">
        <f t="shared" si="1"/>
        <v>7</v>
      </c>
      <c r="J17" s="76">
        <f t="shared" si="2"/>
        <v>32</v>
      </c>
      <c r="K17" s="77">
        <v>7</v>
      </c>
      <c r="L17" s="78">
        <v>7</v>
      </c>
    </row>
    <row r="18" spans="1:12" ht="12.75">
      <c r="A18" s="110" t="s">
        <v>42</v>
      </c>
      <c r="B18" s="117">
        <f>COUNTBLANK(DrawPrep!D3:D34)</f>
        <v>9</v>
      </c>
      <c r="C18" s="65"/>
      <c r="H18" s="74">
        <f t="shared" si="0"/>
        <v>8</v>
      </c>
      <c r="I18" s="75">
        <f t="shared" si="1"/>
        <v>8</v>
      </c>
      <c r="J18" s="76">
        <f t="shared" si="2"/>
        <v>34</v>
      </c>
      <c r="K18" s="77">
        <v>8</v>
      </c>
      <c r="L18" s="78">
        <v>8</v>
      </c>
    </row>
    <row r="19" spans="1:12" ht="12.75">
      <c r="A19" s="111" t="s">
        <v>28</v>
      </c>
      <c r="B19" s="60">
        <v>8</v>
      </c>
      <c r="C19" s="65"/>
      <c r="H19" s="74">
        <f t="shared" si="0"/>
        <v>9</v>
      </c>
      <c r="I19" s="75">
        <f t="shared" si="1"/>
        <v>18</v>
      </c>
      <c r="J19" s="76">
        <f t="shared" si="2"/>
        <v>37</v>
      </c>
      <c r="K19" s="77">
        <v>9</v>
      </c>
      <c r="L19" s="78">
        <v>18</v>
      </c>
    </row>
    <row r="20" spans="1:12">
      <c r="A20" s="109"/>
      <c r="C20" s="65"/>
      <c r="H20" s="74">
        <f t="shared" si="0"/>
        <v>10</v>
      </c>
      <c r="I20" s="75">
        <f t="shared" si="1"/>
        <v>16</v>
      </c>
      <c r="J20" s="76">
        <f t="shared" si="2"/>
        <v>40</v>
      </c>
      <c r="K20" s="77">
        <v>10</v>
      </c>
      <c r="L20" s="78">
        <v>16</v>
      </c>
    </row>
    <row r="21" spans="1:12">
      <c r="A21" s="112"/>
      <c r="B21" s="85"/>
      <c r="C21" s="65"/>
      <c r="H21" s="74">
        <f t="shared" si="0"/>
        <v>11</v>
      </c>
      <c r="I21" s="75">
        <f t="shared" si="1"/>
        <v>20</v>
      </c>
      <c r="J21" s="76">
        <f t="shared" si="2"/>
        <v>43</v>
      </c>
      <c r="K21" s="77">
        <v>11</v>
      </c>
      <c r="L21" s="78">
        <v>20</v>
      </c>
    </row>
    <row r="22" spans="1:12" ht="12.75">
      <c r="A22" s="113"/>
      <c r="B22" s="86"/>
      <c r="C22" s="65"/>
      <c r="H22" s="74">
        <f t="shared" si="0"/>
        <v>12</v>
      </c>
      <c r="I22" s="75">
        <f t="shared" si="1"/>
        <v>19</v>
      </c>
      <c r="J22" s="76">
        <f t="shared" si="2"/>
        <v>46</v>
      </c>
      <c r="K22" s="77">
        <v>12</v>
      </c>
      <c r="L22" s="78">
        <v>19</v>
      </c>
    </row>
    <row r="23" spans="1:12">
      <c r="A23" s="109"/>
      <c r="C23" s="65"/>
      <c r="H23" s="74">
        <f t="shared" si="0"/>
        <v>13</v>
      </c>
      <c r="I23" s="75">
        <f t="shared" si="1"/>
        <v>12</v>
      </c>
      <c r="J23" s="76">
        <f t="shared" si="2"/>
        <v>49</v>
      </c>
      <c r="K23" s="77">
        <v>13</v>
      </c>
      <c r="L23" s="78">
        <v>12</v>
      </c>
    </row>
    <row r="24" spans="1:12">
      <c r="A24" s="114" t="s">
        <v>52</v>
      </c>
      <c r="B24" s="71" t="s">
        <v>53</v>
      </c>
      <c r="C24" s="65"/>
      <c r="H24" s="74">
        <f t="shared" si="0"/>
        <v>14</v>
      </c>
      <c r="I24" s="75">
        <f t="shared" si="1"/>
        <v>15</v>
      </c>
      <c r="J24" s="76">
        <f t="shared" si="2"/>
        <v>52</v>
      </c>
      <c r="K24" s="77">
        <v>14</v>
      </c>
      <c r="L24" s="78">
        <v>15</v>
      </c>
    </row>
    <row r="25" spans="1:12">
      <c r="C25" s="65"/>
      <c r="H25" s="74">
        <f t="shared" si="0"/>
        <v>15</v>
      </c>
      <c r="I25" s="75">
        <f t="shared" si="1"/>
        <v>9</v>
      </c>
      <c r="J25" s="76">
        <f t="shared" si="2"/>
        <v>54</v>
      </c>
      <c r="K25" s="77">
        <v>15</v>
      </c>
      <c r="L25" s="78">
        <v>9</v>
      </c>
    </row>
    <row r="26" spans="1:12" hidden="1">
      <c r="A26" s="88" t="s">
        <v>18</v>
      </c>
      <c r="C26" s="65"/>
      <c r="H26" s="74">
        <f t="shared" si="0"/>
        <v>16</v>
      </c>
      <c r="I26" s="75">
        <f t="shared" si="1"/>
        <v>17</v>
      </c>
      <c r="J26" s="76">
        <f t="shared" si="2"/>
        <v>57</v>
      </c>
      <c r="K26" s="77">
        <v>16</v>
      </c>
      <c r="L26" s="78">
        <v>17</v>
      </c>
    </row>
    <row r="27" spans="1:12" hidden="1">
      <c r="A27" s="88" t="s">
        <v>43</v>
      </c>
      <c r="B27" s="65"/>
      <c r="C27" s="65"/>
      <c r="H27" s="74">
        <f t="shared" si="0"/>
        <v>17</v>
      </c>
      <c r="I27" s="75">
        <f t="shared" si="1"/>
        <v>21</v>
      </c>
      <c r="J27" s="76">
        <f t="shared" si="2"/>
        <v>60</v>
      </c>
      <c r="K27" s="77">
        <v>17</v>
      </c>
      <c r="L27" s="78">
        <v>21</v>
      </c>
    </row>
    <row r="28" spans="1:12" hidden="1">
      <c r="A28" s="87"/>
      <c r="B28" s="65"/>
      <c r="C28" s="65"/>
      <c r="H28" s="74">
        <f t="shared" si="0"/>
        <v>18</v>
      </c>
      <c r="I28" s="75">
        <f t="shared" si="1"/>
        <v>11</v>
      </c>
      <c r="J28" s="76">
        <f t="shared" si="2"/>
        <v>63</v>
      </c>
      <c r="K28" s="77">
        <v>18</v>
      </c>
      <c r="L28" s="78">
        <v>11</v>
      </c>
    </row>
    <row r="29" spans="1:12" hidden="1">
      <c r="A29" s="88" t="s">
        <v>45</v>
      </c>
      <c r="B29" s="65"/>
      <c r="C29" s="65"/>
      <c r="H29" s="74">
        <f t="shared" si="0"/>
        <v>19</v>
      </c>
      <c r="I29" s="75">
        <f t="shared" si="1"/>
        <v>14</v>
      </c>
      <c r="J29" s="76">
        <f t="shared" si="2"/>
        <v>66</v>
      </c>
      <c r="K29" s="77">
        <v>19</v>
      </c>
      <c r="L29" s="78">
        <v>14</v>
      </c>
    </row>
    <row r="30" spans="1:12" hidden="1">
      <c r="B30" s="65"/>
      <c r="C30" s="65"/>
      <c r="H30" s="74">
        <f t="shared" si="0"/>
        <v>20</v>
      </c>
      <c r="I30" s="75">
        <f t="shared" si="1"/>
        <v>10</v>
      </c>
      <c r="J30" s="76">
        <f t="shared" si="2"/>
        <v>69</v>
      </c>
      <c r="K30" s="77">
        <v>20</v>
      </c>
      <c r="L30" s="78">
        <v>10</v>
      </c>
    </row>
    <row r="31" spans="1:12" hidden="1">
      <c r="A31" s="89"/>
      <c r="B31" s="65"/>
      <c r="C31" s="65" t="s">
        <v>19</v>
      </c>
      <c r="H31" s="74">
        <f t="shared" si="0"/>
        <v>21</v>
      </c>
      <c r="I31" s="75">
        <f t="shared" si="1"/>
        <v>22</v>
      </c>
      <c r="J31" s="76">
        <f t="shared" si="2"/>
        <v>72</v>
      </c>
      <c r="K31" s="77">
        <v>21</v>
      </c>
      <c r="L31" s="78">
        <v>22</v>
      </c>
    </row>
    <row r="32" spans="1:12" hidden="1">
      <c r="A32" s="90" t="s">
        <v>106</v>
      </c>
      <c r="B32" s="91"/>
      <c r="C32" s="65"/>
      <c r="H32" s="74">
        <f t="shared" si="0"/>
        <v>22</v>
      </c>
      <c r="I32" s="75">
        <f t="shared" si="1"/>
        <v>23</v>
      </c>
      <c r="J32" s="76">
        <f t="shared" si="2"/>
        <v>75</v>
      </c>
      <c r="K32" s="77">
        <v>22</v>
      </c>
      <c r="L32" s="78">
        <v>23</v>
      </c>
    </row>
    <row r="33" spans="1:12" hidden="1">
      <c r="A33" s="92" t="s">
        <v>44</v>
      </c>
      <c r="C33" s="65"/>
      <c r="H33" s="93">
        <f t="shared" si="0"/>
        <v>23</v>
      </c>
      <c r="I33" s="94">
        <f t="shared" si="1"/>
        <v>13</v>
      </c>
      <c r="J33" s="95">
        <f t="shared" si="2"/>
        <v>78</v>
      </c>
      <c r="K33" s="96">
        <v>23</v>
      </c>
      <c r="L33" s="97">
        <v>13</v>
      </c>
    </row>
    <row r="34" spans="1:12" hidden="1">
      <c r="A34" s="98" t="s">
        <v>48</v>
      </c>
      <c r="C34" s="65"/>
    </row>
    <row r="35" spans="1:12">
      <c r="C35" s="65"/>
    </row>
    <row r="36" spans="1:12">
      <c r="A36" s="100"/>
      <c r="C36" s="65"/>
    </row>
    <row r="37" spans="1:12">
      <c r="A37" s="101"/>
      <c r="B37" s="102"/>
      <c r="C37" s="65"/>
    </row>
    <row r="38" spans="1:12">
      <c r="B38" s="103"/>
      <c r="C38" s="65"/>
    </row>
    <row r="39" spans="1:12">
      <c r="B39" s="104"/>
      <c r="C39" s="65"/>
      <c r="D39" s="105"/>
      <c r="E39" s="106"/>
      <c r="F39" s="107"/>
      <c r="G39" s="108"/>
      <c r="H39" s="108"/>
    </row>
    <row r="40" spans="1:12">
      <c r="C40" s="82"/>
      <c r="D40" s="105"/>
      <c r="E40" s="106"/>
      <c r="F40" s="107"/>
      <c r="G40" s="108"/>
      <c r="H40" s="108"/>
    </row>
    <row r="41" spans="1:12">
      <c r="C41" s="82"/>
      <c r="D41" s="105"/>
      <c r="E41" s="106"/>
      <c r="F41" s="107"/>
      <c r="G41" s="108"/>
      <c r="H41" s="108"/>
    </row>
    <row r="42" spans="1:12">
      <c r="C42" s="82"/>
      <c r="D42" s="105"/>
      <c r="E42" s="106"/>
      <c r="F42" s="107"/>
      <c r="G42" s="108"/>
      <c r="H42" s="108"/>
    </row>
    <row r="43" spans="1:12">
      <c r="C43" s="82"/>
      <c r="D43" s="105"/>
      <c r="E43" s="106"/>
      <c r="F43" s="107"/>
      <c r="G43" s="108"/>
      <c r="H43" s="108"/>
    </row>
    <row r="44" spans="1:12">
      <c r="C44" s="82"/>
      <c r="D44" s="105"/>
      <c r="E44" s="106"/>
      <c r="F44" s="107"/>
      <c r="G44" s="108"/>
      <c r="H44" s="108"/>
    </row>
    <row r="45" spans="1:12">
      <c r="C45" s="82"/>
      <c r="D45" s="105"/>
      <c r="E45" s="106"/>
      <c r="F45" s="107"/>
      <c r="G45" s="108"/>
      <c r="H45" s="108"/>
    </row>
    <row r="46" spans="1:12">
      <c r="C46" s="82"/>
      <c r="D46" s="105"/>
      <c r="E46" s="106"/>
      <c r="F46" s="107"/>
      <c r="G46" s="108"/>
      <c r="H46" s="108"/>
    </row>
    <row r="47" spans="1:12">
      <c r="C47" s="82"/>
      <c r="D47" s="105"/>
      <c r="E47" s="106"/>
      <c r="F47" s="107"/>
      <c r="G47" s="108"/>
      <c r="H47" s="108"/>
    </row>
    <row r="48" spans="1:12">
      <c r="C48" s="82"/>
      <c r="D48" s="105"/>
      <c r="E48" s="106"/>
      <c r="F48" s="107"/>
      <c r="G48" s="108"/>
      <c r="H48" s="108"/>
    </row>
    <row r="49" spans="1:8">
      <c r="C49" s="82"/>
      <c r="D49" s="105"/>
      <c r="E49" s="106"/>
      <c r="F49" s="107"/>
      <c r="G49" s="108"/>
      <c r="H49" s="108"/>
    </row>
    <row r="50" spans="1:8">
      <c r="C50" s="82"/>
      <c r="D50" s="105"/>
      <c r="E50" s="106"/>
      <c r="F50" s="107"/>
      <c r="G50" s="108"/>
      <c r="H50" s="108"/>
    </row>
    <row r="51" spans="1:8">
      <c r="C51" s="82"/>
      <c r="D51" s="105"/>
      <c r="E51" s="106"/>
      <c r="F51" s="107"/>
      <c r="G51" s="108"/>
      <c r="H51" s="108"/>
    </row>
    <row r="52" spans="1:8">
      <c r="C52" s="82"/>
      <c r="D52" s="105"/>
      <c r="E52" s="106"/>
      <c r="F52" s="107"/>
      <c r="G52" s="108"/>
      <c r="H52" s="108"/>
    </row>
    <row r="53" spans="1:8">
      <c r="C53" s="82"/>
      <c r="D53" s="105"/>
      <c r="E53" s="106"/>
      <c r="F53" s="107"/>
      <c r="G53" s="108"/>
      <c r="H53" s="108"/>
    </row>
    <row r="54" spans="1:8">
      <c r="C54" s="82"/>
      <c r="D54" s="105"/>
      <c r="E54" s="106"/>
      <c r="F54" s="107"/>
      <c r="G54" s="108"/>
      <c r="H54" s="108"/>
    </row>
    <row r="55" spans="1:8">
      <c r="C55" s="82"/>
      <c r="D55" s="105"/>
      <c r="E55" s="106"/>
      <c r="F55" s="107"/>
      <c r="G55" s="108"/>
      <c r="H55" s="108"/>
    </row>
    <row r="56" spans="1:8">
      <c r="C56" s="82"/>
      <c r="D56" s="105"/>
      <c r="E56" s="106"/>
      <c r="F56" s="107"/>
      <c r="G56" s="108"/>
      <c r="H56" s="108"/>
    </row>
    <row r="57" spans="1:8">
      <c r="C57" s="82"/>
      <c r="D57" s="105"/>
      <c r="E57" s="106"/>
      <c r="F57" s="107"/>
      <c r="G57" s="108"/>
      <c r="H57" s="108"/>
    </row>
    <row r="58" spans="1:8">
      <c r="C58" s="82"/>
      <c r="D58" s="105"/>
      <c r="E58" s="106"/>
      <c r="F58" s="107"/>
      <c r="G58" s="108"/>
      <c r="H58" s="108"/>
    </row>
    <row r="59" spans="1:8">
      <c r="C59" s="82"/>
      <c r="D59" s="105"/>
      <c r="E59" s="106"/>
      <c r="F59" s="107"/>
      <c r="G59" s="108"/>
      <c r="H59" s="108"/>
    </row>
    <row r="60" spans="1:8">
      <c r="C60" s="82"/>
      <c r="D60" s="105"/>
      <c r="E60" s="106"/>
      <c r="F60" s="107"/>
      <c r="G60" s="108"/>
      <c r="H60" s="108"/>
    </row>
    <row r="61" spans="1:8">
      <c r="C61" s="82"/>
      <c r="D61" s="105"/>
      <c r="E61" s="106"/>
      <c r="F61" s="107"/>
      <c r="G61" s="108"/>
      <c r="H61" s="108"/>
    </row>
    <row r="62" spans="1:8">
      <c r="C62" s="82"/>
      <c r="D62" s="105"/>
      <c r="E62" s="106"/>
      <c r="F62" s="107"/>
      <c r="G62" s="108"/>
      <c r="H62" s="108"/>
    </row>
    <row r="63" spans="1:8">
      <c r="F63" s="65"/>
    </row>
    <row r="64" spans="1:8">
      <c r="F64" s="65"/>
    </row>
    <row r="65" spans="6:6">
      <c r="F65" s="65"/>
    </row>
    <row r="66" spans="6:6">
      <c r="F66" s="65"/>
    </row>
    <row r="67" spans="6:6">
      <c r="F67" s="65"/>
    </row>
    <row r="68" spans="6:6">
      <c r="F68" s="65"/>
    </row>
    <row r="69" spans="6:6">
      <c r="F69" s="65"/>
    </row>
    <row r="70" spans="6:6">
      <c r="F70" s="65"/>
    </row>
  </sheetData>
  <sheetProtection password="CF33" sheet="1" objects="1" scenarios="1" formatCells="0" formatColumns="0" formatRows="0" sort="0"/>
  <mergeCells count="3">
    <mergeCell ref="D2:D3"/>
    <mergeCell ref="D5:D8"/>
    <mergeCell ref="A1:B1"/>
  </mergeCells>
  <phoneticPr fontId="1" type="noConversion"/>
  <printOptions horizontalCentered="1"/>
  <pageMargins left="0.39370078740157483" right="0.39370078740157483" top="0.98425196850393704" bottom="0.39370078740157483" header="0.51181102362204722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tabColor rgb="FF92D050"/>
    <pageSetUpPr fitToPage="1"/>
  </sheetPr>
  <dimension ref="A1:M47"/>
  <sheetViews>
    <sheetView showGridLines="0" workbookViewId="0">
      <pane ySplit="2" topLeftCell="A3" activePane="bottomLeft" state="frozen"/>
      <selection sqref="A1:E1"/>
      <selection pane="bottomLeft" activeCell="D14" sqref="D14"/>
    </sheetView>
  </sheetViews>
  <sheetFormatPr defaultColWidth="8.85546875" defaultRowHeight="11.25"/>
  <cols>
    <col min="1" max="1" width="3" style="192" bestFit="1" customWidth="1"/>
    <col min="2" max="2" width="6" style="192" bestFit="1" customWidth="1"/>
    <col min="3" max="3" width="6.28515625" style="192" customWidth="1"/>
    <col min="4" max="4" width="25.7109375" style="193" customWidth="1"/>
    <col min="5" max="5" width="20.7109375" style="130" customWidth="1"/>
    <col min="6" max="6" width="11.7109375" style="192" customWidth="1"/>
    <col min="7" max="7" width="6.28515625" style="130" customWidth="1"/>
    <col min="8" max="8" width="25.7109375" style="193" customWidth="1"/>
    <col min="9" max="9" width="20.7109375" style="130" customWidth="1"/>
    <col min="10" max="10" width="11.7109375" style="130" customWidth="1"/>
    <col min="11" max="11" width="9.28515625" style="192" hidden="1" customWidth="1"/>
    <col min="12" max="12" width="6.85546875" style="192" hidden="1" customWidth="1"/>
    <col min="13" max="16384" width="8.85546875" style="130"/>
  </cols>
  <sheetData>
    <row r="1" spans="1:13" s="119" customFormat="1" ht="22.15" customHeight="1">
      <c r="A1" s="324" t="str">
        <f>Setup!$B$3 &amp; ", " &amp; Setup!$B$4 &amp; ", " &amp; Setup!$B$6 &amp; ", " &amp; Setup!$B$8 &amp; "-" &amp; Setup!$B$9</f>
        <v>Athlisis Tennis Club, 15th Open A.C. by F.Bozionelos S.A., , -</v>
      </c>
      <c r="B1" s="325"/>
      <c r="C1" s="325"/>
      <c r="D1" s="325"/>
      <c r="E1" s="325"/>
      <c r="F1" s="325"/>
      <c r="G1" s="325"/>
      <c r="H1" s="325"/>
      <c r="I1" s="325"/>
      <c r="J1" s="194" t="str">
        <f>Setup!B7</f>
        <v>Mixted Doubles</v>
      </c>
      <c r="K1" s="118"/>
      <c r="L1" s="118"/>
    </row>
    <row r="2" spans="1:13" s="118" customFormat="1">
      <c r="A2" s="195" t="s">
        <v>9</v>
      </c>
      <c r="B2" s="196" t="s">
        <v>23</v>
      </c>
      <c r="C2" s="197" t="s">
        <v>7</v>
      </c>
      <c r="D2" s="198" t="s">
        <v>6</v>
      </c>
      <c r="E2" s="196" t="s">
        <v>8</v>
      </c>
      <c r="F2" s="196" t="s">
        <v>47</v>
      </c>
      <c r="G2" s="198" t="s">
        <v>7</v>
      </c>
      <c r="H2" s="196" t="s">
        <v>6</v>
      </c>
      <c r="I2" s="196" t="s">
        <v>8</v>
      </c>
      <c r="J2" s="199" t="s">
        <v>47</v>
      </c>
      <c r="K2" s="120" t="s">
        <v>40</v>
      </c>
      <c r="L2" s="120" t="s">
        <v>50</v>
      </c>
    </row>
    <row r="3" spans="1:13" ht="15" customHeight="1">
      <c r="A3" s="200">
        <v>1</v>
      </c>
      <c r="B3" s="121"/>
      <c r="C3" s="122">
        <v>1726</v>
      </c>
      <c r="D3" s="123" t="s">
        <v>59</v>
      </c>
      <c r="E3" s="124"/>
      <c r="F3" s="125"/>
      <c r="G3" s="122">
        <v>1995</v>
      </c>
      <c r="H3" s="123" t="s">
        <v>58</v>
      </c>
      <c r="I3" s="126"/>
      <c r="J3" s="127"/>
      <c r="K3" s="128">
        <f t="shared" ref="K3:K34" si="0">IF(D3&gt;" ",B3+L3,0)</f>
        <v>2.6198798760925766E-2</v>
      </c>
      <c r="L3" s="129">
        <v>2.6198798760925766E-2</v>
      </c>
    </row>
    <row r="4" spans="1:13" ht="15" customHeight="1">
      <c r="A4" s="201">
        <v>2</v>
      </c>
      <c r="B4" s="131"/>
      <c r="C4" s="132">
        <v>1875</v>
      </c>
      <c r="D4" s="133" t="s">
        <v>60</v>
      </c>
      <c r="E4" s="134"/>
      <c r="F4" s="135"/>
      <c r="G4" s="136">
        <v>1751</v>
      </c>
      <c r="H4" s="133" t="s">
        <v>61</v>
      </c>
      <c r="I4" s="137"/>
      <c r="J4" s="138"/>
      <c r="K4" s="128">
        <f t="shared" si="0"/>
        <v>3.0617463073082461E-2</v>
      </c>
      <c r="L4" s="129">
        <v>3.0617463073082461E-2</v>
      </c>
      <c r="M4" s="139"/>
    </row>
    <row r="5" spans="1:13" ht="15" customHeight="1">
      <c r="A5" s="201">
        <v>3</v>
      </c>
      <c r="B5" s="131"/>
      <c r="C5" s="132">
        <v>2000</v>
      </c>
      <c r="D5" s="140" t="s">
        <v>62</v>
      </c>
      <c r="E5" s="134"/>
      <c r="F5" s="135"/>
      <c r="G5" s="132">
        <v>1977</v>
      </c>
      <c r="H5" s="140" t="s">
        <v>63</v>
      </c>
      <c r="I5" s="137"/>
      <c r="J5" s="138"/>
      <c r="K5" s="128">
        <f t="shared" si="0"/>
        <v>1.1535467629168265E-2</v>
      </c>
      <c r="L5" s="129">
        <v>1.1535467629168265E-2</v>
      </c>
      <c r="M5" s="139"/>
    </row>
    <row r="6" spans="1:13" ht="15" customHeight="1">
      <c r="A6" s="201">
        <v>4</v>
      </c>
      <c r="B6" s="131"/>
      <c r="C6" s="136">
        <v>1828</v>
      </c>
      <c r="D6" s="141" t="s">
        <v>65</v>
      </c>
      <c r="E6" s="142"/>
      <c r="F6" s="135"/>
      <c r="G6" s="136">
        <v>1707</v>
      </c>
      <c r="H6" s="141" t="s">
        <v>64</v>
      </c>
      <c r="I6" s="143"/>
      <c r="J6" s="138"/>
      <c r="K6" s="128">
        <f t="shared" si="0"/>
        <v>3.9579390728901626E-2</v>
      </c>
      <c r="L6" s="129">
        <v>3.9579390728901626E-2</v>
      </c>
      <c r="M6" s="139"/>
    </row>
    <row r="7" spans="1:13" ht="15" customHeight="1">
      <c r="A7" s="201">
        <v>5</v>
      </c>
      <c r="B7" s="131"/>
      <c r="C7" s="144">
        <v>1948</v>
      </c>
      <c r="D7" s="141" t="s">
        <v>66</v>
      </c>
      <c r="E7" s="145"/>
      <c r="F7" s="146"/>
      <c r="G7" s="144">
        <v>1735</v>
      </c>
      <c r="H7" s="141" t="s">
        <v>67</v>
      </c>
      <c r="I7" s="137"/>
      <c r="J7" s="138"/>
      <c r="K7" s="128">
        <f t="shared" si="0"/>
        <v>5.9387378081924994E-4</v>
      </c>
      <c r="L7" s="129">
        <v>5.9387378081924994E-4</v>
      </c>
      <c r="M7" s="139"/>
    </row>
    <row r="8" spans="1:13" ht="15" customHeight="1">
      <c r="A8" s="201">
        <v>6</v>
      </c>
      <c r="B8" s="131"/>
      <c r="C8" s="136">
        <v>1811</v>
      </c>
      <c r="D8" s="141" t="s">
        <v>69</v>
      </c>
      <c r="E8" s="145"/>
      <c r="F8" s="146"/>
      <c r="G8" s="147">
        <v>1920</v>
      </c>
      <c r="H8" s="141" t="s">
        <v>68</v>
      </c>
      <c r="I8" s="143"/>
      <c r="J8" s="138"/>
      <c r="K8" s="128">
        <f t="shared" si="0"/>
        <v>2.2460007019242657E-2</v>
      </c>
      <c r="L8" s="129">
        <v>2.2460007019242657E-2</v>
      </c>
      <c r="M8" s="139"/>
    </row>
    <row r="9" spans="1:13" ht="15" customHeight="1">
      <c r="A9" s="201">
        <v>7</v>
      </c>
      <c r="B9" s="131"/>
      <c r="C9" s="136">
        <v>1944</v>
      </c>
      <c r="D9" s="141" t="s">
        <v>90</v>
      </c>
      <c r="E9" s="142"/>
      <c r="F9" s="135"/>
      <c r="G9" s="136">
        <v>1731</v>
      </c>
      <c r="H9" s="141" t="s">
        <v>91</v>
      </c>
      <c r="I9" s="143"/>
      <c r="J9" s="138"/>
      <c r="K9" s="128">
        <f t="shared" si="0"/>
        <v>4.4914501517617451E-2</v>
      </c>
      <c r="L9" s="129">
        <v>4.4914501517617451E-2</v>
      </c>
      <c r="M9" s="139"/>
    </row>
    <row r="10" spans="1:13" ht="15" customHeight="1">
      <c r="A10" s="201">
        <v>8</v>
      </c>
      <c r="B10" s="131"/>
      <c r="C10" s="136">
        <v>1755</v>
      </c>
      <c r="D10" s="141" t="s">
        <v>72</v>
      </c>
      <c r="E10" s="142"/>
      <c r="F10" s="146"/>
      <c r="G10" s="132">
        <v>1704</v>
      </c>
      <c r="H10" s="141" t="s">
        <v>73</v>
      </c>
      <c r="I10" s="137"/>
      <c r="J10" s="138"/>
      <c r="K10" s="128">
        <f t="shared" si="0"/>
        <v>3.8075877266657898E-2</v>
      </c>
      <c r="L10" s="129">
        <v>3.8075877266657898E-2</v>
      </c>
      <c r="M10" s="139"/>
    </row>
    <row r="11" spans="1:13" ht="15" customHeight="1">
      <c r="A11" s="201">
        <v>9</v>
      </c>
      <c r="B11" s="131"/>
      <c r="C11" s="132">
        <v>1993</v>
      </c>
      <c r="D11" s="148" t="s">
        <v>75</v>
      </c>
      <c r="E11" s="134"/>
      <c r="F11" s="146"/>
      <c r="G11" s="136">
        <v>1846</v>
      </c>
      <c r="H11" s="148" t="s">
        <v>74</v>
      </c>
      <c r="I11" s="143"/>
      <c r="J11" s="138"/>
      <c r="K11" s="128">
        <f t="shared" si="0"/>
        <v>3.9753020945392223E-2</v>
      </c>
      <c r="L11" s="129">
        <v>3.9753020945392223E-2</v>
      </c>
      <c r="M11" s="139"/>
    </row>
    <row r="12" spans="1:13" ht="15" customHeight="1">
      <c r="A12" s="201">
        <v>10</v>
      </c>
      <c r="B12" s="131"/>
      <c r="C12" s="136">
        <v>1957</v>
      </c>
      <c r="D12" s="141" t="s">
        <v>70</v>
      </c>
      <c r="E12" s="142"/>
      <c r="F12" s="135"/>
      <c r="G12" s="136">
        <v>1918</v>
      </c>
      <c r="H12" s="141" t="s">
        <v>71</v>
      </c>
      <c r="I12" s="137"/>
      <c r="J12" s="138"/>
      <c r="K12" s="128">
        <f t="shared" si="0"/>
        <v>4.2771756729202123E-2</v>
      </c>
      <c r="L12" s="129">
        <v>4.2771756729202123E-2</v>
      </c>
      <c r="M12" s="139"/>
    </row>
    <row r="13" spans="1:13" ht="15" customHeight="1">
      <c r="A13" s="201">
        <v>11</v>
      </c>
      <c r="B13" s="131"/>
      <c r="C13" s="132">
        <v>1953</v>
      </c>
      <c r="D13" s="141" t="s">
        <v>76</v>
      </c>
      <c r="E13" s="142"/>
      <c r="F13" s="135"/>
      <c r="G13" s="136">
        <v>2014</v>
      </c>
      <c r="H13" s="141" t="s">
        <v>77</v>
      </c>
      <c r="I13" s="143"/>
      <c r="J13" s="138"/>
      <c r="K13" s="128">
        <f t="shared" si="0"/>
        <v>3.973295780399045E-2</v>
      </c>
      <c r="L13" s="129">
        <v>3.973295780399045E-2</v>
      </c>
      <c r="M13" s="139"/>
    </row>
    <row r="14" spans="1:13" ht="15" customHeight="1">
      <c r="A14" s="201">
        <v>12</v>
      </c>
      <c r="B14" s="131"/>
      <c r="C14" s="144">
        <v>2105</v>
      </c>
      <c r="D14" s="133" t="s">
        <v>109</v>
      </c>
      <c r="E14" s="134"/>
      <c r="F14" s="146"/>
      <c r="G14" s="132">
        <v>2106</v>
      </c>
      <c r="H14" s="133" t="s">
        <v>108</v>
      </c>
      <c r="I14" s="143"/>
      <c r="J14" s="138"/>
      <c r="K14" s="128">
        <f t="shared" si="0"/>
        <v>1.5533081188926262E-2</v>
      </c>
      <c r="L14" s="129">
        <v>1.5533081188926262E-2</v>
      </c>
      <c r="M14" s="139"/>
    </row>
    <row r="15" spans="1:13" ht="15" customHeight="1">
      <c r="A15" s="201">
        <v>13</v>
      </c>
      <c r="B15" s="131"/>
      <c r="C15" s="147">
        <v>2006</v>
      </c>
      <c r="D15" s="141" t="s">
        <v>78</v>
      </c>
      <c r="E15" s="145"/>
      <c r="F15" s="146"/>
      <c r="G15" s="147">
        <v>1958</v>
      </c>
      <c r="H15" s="141" t="s">
        <v>79</v>
      </c>
      <c r="I15" s="137"/>
      <c r="J15" s="138"/>
      <c r="K15" s="128">
        <f t="shared" si="0"/>
        <v>2.3363912981247726E-2</v>
      </c>
      <c r="L15" s="129">
        <v>2.3363912981247726E-2</v>
      </c>
      <c r="M15" s="139"/>
    </row>
    <row r="16" spans="1:13" ht="15" customHeight="1">
      <c r="A16" s="201">
        <v>14</v>
      </c>
      <c r="B16" s="131"/>
      <c r="C16" s="147">
        <v>2090</v>
      </c>
      <c r="D16" s="140" t="s">
        <v>81</v>
      </c>
      <c r="E16" s="149"/>
      <c r="F16" s="135"/>
      <c r="G16" s="147">
        <v>1829</v>
      </c>
      <c r="H16" s="140" t="s">
        <v>80</v>
      </c>
      <c r="I16" s="143"/>
      <c r="J16" s="138"/>
      <c r="K16" s="128">
        <f t="shared" si="0"/>
        <v>2.7583173904474977E-2</v>
      </c>
      <c r="L16" s="129">
        <v>2.7583173904474977E-2</v>
      </c>
      <c r="M16" s="139"/>
    </row>
    <row r="17" spans="1:13" ht="15" customHeight="1">
      <c r="A17" s="201">
        <v>15</v>
      </c>
      <c r="B17" s="131"/>
      <c r="C17" s="144">
        <v>2019</v>
      </c>
      <c r="D17" s="140" t="s">
        <v>82</v>
      </c>
      <c r="E17" s="149"/>
      <c r="F17" s="135"/>
      <c r="G17" s="144">
        <v>1733</v>
      </c>
      <c r="H17" s="140" t="s">
        <v>83</v>
      </c>
      <c r="I17" s="137"/>
      <c r="J17" s="138"/>
      <c r="K17" s="128">
        <f t="shared" si="0"/>
        <v>3.45005816164431E-2</v>
      </c>
      <c r="L17" s="129">
        <v>3.45005816164431E-2</v>
      </c>
      <c r="M17" s="139"/>
    </row>
    <row r="18" spans="1:13" ht="15" customHeight="1">
      <c r="A18" s="201">
        <v>16</v>
      </c>
      <c r="B18" s="131"/>
      <c r="C18" s="147">
        <v>1812</v>
      </c>
      <c r="D18" s="141" t="s">
        <v>85</v>
      </c>
      <c r="E18" s="145"/>
      <c r="F18" s="146"/>
      <c r="G18" s="144">
        <v>1921</v>
      </c>
      <c r="H18" s="141" t="s">
        <v>84</v>
      </c>
      <c r="I18" s="143"/>
      <c r="J18" s="138"/>
      <c r="K18" s="128">
        <f t="shared" si="0"/>
        <v>3.3551971022517488E-2</v>
      </c>
      <c r="L18" s="129">
        <v>3.3551971022517488E-2</v>
      </c>
      <c r="M18" s="139"/>
    </row>
    <row r="19" spans="1:13" ht="15" customHeight="1">
      <c r="A19" s="201">
        <v>17</v>
      </c>
      <c r="B19" s="150"/>
      <c r="C19" s="132">
        <v>2066</v>
      </c>
      <c r="D19" s="141" t="s">
        <v>86</v>
      </c>
      <c r="E19" s="149"/>
      <c r="F19" s="135"/>
      <c r="G19" s="147">
        <v>2064</v>
      </c>
      <c r="H19" s="141" t="s">
        <v>87</v>
      </c>
      <c r="I19" s="143"/>
      <c r="J19" s="138"/>
      <c r="K19" s="128">
        <f t="shared" si="0"/>
        <v>4.3042460719532133E-2</v>
      </c>
      <c r="L19" s="129">
        <v>4.3042460719532133E-2</v>
      </c>
    </row>
    <row r="20" spans="1:13" ht="15" customHeight="1">
      <c r="A20" s="201">
        <v>18</v>
      </c>
      <c r="B20" s="131"/>
      <c r="C20" s="132">
        <v>1853</v>
      </c>
      <c r="D20" s="140" t="s">
        <v>89</v>
      </c>
      <c r="E20" s="151"/>
      <c r="F20" s="135"/>
      <c r="G20" s="132">
        <v>1814</v>
      </c>
      <c r="H20" s="140" t="s">
        <v>88</v>
      </c>
      <c r="I20" s="137"/>
      <c r="J20" s="138"/>
      <c r="K20" s="128">
        <f t="shared" si="0"/>
        <v>3.7465017235919072E-2</v>
      </c>
      <c r="L20" s="129">
        <v>3.7465017235919072E-2</v>
      </c>
      <c r="M20" s="139"/>
    </row>
    <row r="21" spans="1:13" ht="15" customHeight="1">
      <c r="A21" s="201">
        <v>19</v>
      </c>
      <c r="B21" s="150"/>
      <c r="C21" s="144">
        <v>2051</v>
      </c>
      <c r="D21" s="141" t="s">
        <v>95</v>
      </c>
      <c r="E21" s="137"/>
      <c r="F21" s="146"/>
      <c r="G21" s="147">
        <v>2083</v>
      </c>
      <c r="H21" s="141" t="s">
        <v>94</v>
      </c>
      <c r="I21" s="143"/>
      <c r="J21" s="138"/>
      <c r="K21" s="128">
        <f t="shared" si="0"/>
        <v>2.1224859370518944E-2</v>
      </c>
      <c r="L21" s="129">
        <v>2.1224859370518944E-2</v>
      </c>
      <c r="M21" s="139"/>
    </row>
    <row r="22" spans="1:13" ht="15" customHeight="1">
      <c r="A22" s="201">
        <v>20</v>
      </c>
      <c r="B22" s="131"/>
      <c r="C22" s="136">
        <v>1945</v>
      </c>
      <c r="D22" s="141" t="s">
        <v>93</v>
      </c>
      <c r="E22" s="152"/>
      <c r="F22" s="135"/>
      <c r="G22" s="132">
        <v>1963</v>
      </c>
      <c r="H22" s="141" t="s">
        <v>92</v>
      </c>
      <c r="I22" s="143"/>
      <c r="J22" s="138"/>
      <c r="K22" s="128">
        <f t="shared" si="0"/>
        <v>7.3097378354874398E-3</v>
      </c>
      <c r="L22" s="129">
        <v>7.3097378354874398E-3</v>
      </c>
      <c r="M22" s="139"/>
    </row>
    <row r="23" spans="1:13" ht="15" customHeight="1">
      <c r="A23" s="201">
        <v>21</v>
      </c>
      <c r="B23" s="131"/>
      <c r="C23" s="132">
        <v>2045</v>
      </c>
      <c r="D23" s="140" t="s">
        <v>97</v>
      </c>
      <c r="E23" s="151"/>
      <c r="F23" s="146"/>
      <c r="G23" s="132">
        <v>1979</v>
      </c>
      <c r="H23" s="140" t="s">
        <v>96</v>
      </c>
      <c r="I23" s="143"/>
      <c r="J23" s="138"/>
      <c r="K23" s="128">
        <f t="shared" si="0"/>
        <v>3.5540730129556358E-2</v>
      </c>
      <c r="L23" s="129">
        <v>3.5540730129556358E-2</v>
      </c>
      <c r="M23" s="139"/>
    </row>
    <row r="24" spans="1:13" ht="15" customHeight="1">
      <c r="A24" s="201">
        <v>22</v>
      </c>
      <c r="B24" s="131"/>
      <c r="C24" s="136">
        <v>2104</v>
      </c>
      <c r="D24" s="141" t="s">
        <v>98</v>
      </c>
      <c r="E24" s="152"/>
      <c r="F24" s="146"/>
      <c r="G24" s="132">
        <v>2049</v>
      </c>
      <c r="H24" s="141" t="s">
        <v>99</v>
      </c>
      <c r="I24" s="143"/>
      <c r="J24" s="138"/>
      <c r="K24" s="128">
        <f t="shared" si="0"/>
        <v>2.7953140105482711E-2</v>
      </c>
      <c r="L24" s="129">
        <v>2.7953140105482711E-2</v>
      </c>
      <c r="M24" s="139"/>
    </row>
    <row r="25" spans="1:13" ht="15" customHeight="1">
      <c r="A25" s="201">
        <v>23</v>
      </c>
      <c r="B25" s="131"/>
      <c r="C25" s="144">
        <v>2022</v>
      </c>
      <c r="D25" s="140" t="s">
        <v>101</v>
      </c>
      <c r="E25" s="137"/>
      <c r="F25" s="146"/>
      <c r="G25" s="147">
        <v>1888</v>
      </c>
      <c r="H25" s="140" t="s">
        <v>100</v>
      </c>
      <c r="I25" s="143"/>
      <c r="J25" s="138"/>
      <c r="K25" s="128">
        <f t="shared" si="0"/>
        <v>3.2035156376608705E-2</v>
      </c>
      <c r="L25" s="129">
        <v>3.2035156376608705E-2</v>
      </c>
      <c r="M25" s="139"/>
    </row>
    <row r="26" spans="1:13" ht="15" customHeight="1">
      <c r="A26" s="201">
        <v>24</v>
      </c>
      <c r="B26" s="131"/>
      <c r="C26" s="147"/>
      <c r="D26" s="133"/>
      <c r="E26" s="143"/>
      <c r="F26" s="135"/>
      <c r="G26" s="147"/>
      <c r="H26" s="133"/>
      <c r="I26" s="137"/>
      <c r="J26" s="138"/>
      <c r="K26" s="128">
        <f t="shared" si="0"/>
        <v>0</v>
      </c>
      <c r="L26" s="129">
        <v>2.6614775036844042E-2</v>
      </c>
      <c r="M26" s="139"/>
    </row>
    <row r="27" spans="1:13" ht="15" customHeight="1">
      <c r="A27" s="201">
        <v>25</v>
      </c>
      <c r="B27" s="131"/>
      <c r="C27" s="147"/>
      <c r="D27" s="153"/>
      <c r="E27" s="143"/>
      <c r="F27" s="135"/>
      <c r="G27" s="147"/>
      <c r="H27" s="154"/>
      <c r="I27" s="143"/>
      <c r="J27" s="138"/>
      <c r="K27" s="128">
        <f t="shared" si="0"/>
        <v>0</v>
      </c>
      <c r="L27" s="129">
        <v>4.5168643328977992E-2</v>
      </c>
      <c r="M27" s="139"/>
    </row>
    <row r="28" spans="1:13" ht="15" customHeight="1">
      <c r="A28" s="201">
        <v>26</v>
      </c>
      <c r="B28" s="131"/>
      <c r="C28" s="147"/>
      <c r="D28" s="133"/>
      <c r="E28" s="143"/>
      <c r="F28" s="135"/>
      <c r="G28" s="144"/>
      <c r="H28" s="133"/>
      <c r="I28" s="143"/>
      <c r="J28" s="138"/>
      <c r="K28" s="128">
        <f t="shared" si="0"/>
        <v>0</v>
      </c>
      <c r="L28" s="129">
        <v>2.075586231838061E-2</v>
      </c>
      <c r="M28" s="139"/>
    </row>
    <row r="29" spans="1:13" ht="15" customHeight="1">
      <c r="A29" s="201">
        <v>27</v>
      </c>
      <c r="B29" s="131"/>
      <c r="C29" s="136"/>
      <c r="D29" s="141"/>
      <c r="E29" s="152"/>
      <c r="F29" s="135"/>
      <c r="G29" s="132"/>
      <c r="H29" s="141"/>
      <c r="I29" s="143"/>
      <c r="J29" s="138"/>
      <c r="K29" s="128">
        <f t="shared" si="0"/>
        <v>0</v>
      </c>
      <c r="L29" s="129">
        <v>7.9044287410669038E-3</v>
      </c>
      <c r="M29" s="139"/>
    </row>
    <row r="30" spans="1:13" ht="15" customHeight="1">
      <c r="A30" s="201">
        <v>28</v>
      </c>
      <c r="B30" s="131"/>
      <c r="C30" s="144"/>
      <c r="D30" s="154"/>
      <c r="E30" s="137"/>
      <c r="F30" s="146"/>
      <c r="G30" s="144"/>
      <c r="H30" s="154"/>
      <c r="I30" s="137"/>
      <c r="J30" s="138"/>
      <c r="K30" s="128">
        <f t="shared" si="0"/>
        <v>0</v>
      </c>
      <c r="L30" s="129">
        <v>3.8685432514343927E-2</v>
      </c>
      <c r="M30" s="139"/>
    </row>
    <row r="31" spans="1:13" ht="15" customHeight="1">
      <c r="A31" s="202">
        <v>29</v>
      </c>
      <c r="B31" s="155"/>
      <c r="C31" s="156"/>
      <c r="D31" s="157"/>
      <c r="E31" s="158"/>
      <c r="F31" s="159"/>
      <c r="G31" s="160"/>
      <c r="H31" s="161"/>
      <c r="I31" s="158"/>
      <c r="J31" s="162"/>
      <c r="K31" s="128">
        <f t="shared" si="0"/>
        <v>0</v>
      </c>
      <c r="L31" s="129">
        <v>2.9487050658454007E-2</v>
      </c>
      <c r="M31" s="139"/>
    </row>
    <row r="32" spans="1:13" ht="15" customHeight="1">
      <c r="A32" s="202">
        <v>30</v>
      </c>
      <c r="B32" s="155"/>
      <c r="C32" s="163"/>
      <c r="D32" s="164"/>
      <c r="E32" s="165"/>
      <c r="F32" s="159"/>
      <c r="G32" s="163"/>
      <c r="H32" s="164"/>
      <c r="I32" s="166"/>
      <c r="J32" s="162"/>
      <c r="K32" s="128">
        <f t="shared" si="0"/>
        <v>0</v>
      </c>
      <c r="L32" s="129">
        <v>4.1735526810376726E-2</v>
      </c>
      <c r="M32" s="139"/>
    </row>
    <row r="33" spans="1:13" ht="15" customHeight="1">
      <c r="A33" s="202">
        <v>31</v>
      </c>
      <c r="B33" s="155"/>
      <c r="C33" s="163"/>
      <c r="D33" s="157"/>
      <c r="E33" s="165"/>
      <c r="F33" s="159"/>
      <c r="G33" s="167"/>
      <c r="H33" s="157"/>
      <c r="I33" s="158"/>
      <c r="J33" s="162"/>
      <c r="K33" s="128">
        <f t="shared" si="0"/>
        <v>0</v>
      </c>
      <c r="L33" s="129">
        <v>2.3775990920508125E-2</v>
      </c>
      <c r="M33" s="139"/>
    </row>
    <row r="34" spans="1:13" ht="15" customHeight="1">
      <c r="A34" s="203">
        <v>32</v>
      </c>
      <c r="B34" s="168"/>
      <c r="C34" s="169"/>
      <c r="D34" s="170"/>
      <c r="E34" s="171"/>
      <c r="F34" s="172"/>
      <c r="G34" s="173"/>
      <c r="H34" s="174"/>
      <c r="I34" s="171"/>
      <c r="J34" s="175"/>
      <c r="K34" s="128">
        <f t="shared" si="0"/>
        <v>0</v>
      </c>
      <c r="L34" s="129">
        <v>3.0842783788019159E-2</v>
      </c>
      <c r="M34" s="139"/>
    </row>
    <row r="35" spans="1:13">
      <c r="A35" s="176"/>
      <c r="B35" s="176"/>
      <c r="C35" s="176"/>
      <c r="D35" s="177"/>
      <c r="E35" s="177"/>
      <c r="F35" s="176"/>
      <c r="G35" s="178"/>
      <c r="H35" s="177"/>
      <c r="I35" s="179"/>
      <c r="J35" s="179"/>
      <c r="K35" s="180"/>
      <c r="L35" s="180"/>
      <c r="M35" s="139"/>
    </row>
    <row r="36" spans="1:13">
      <c r="A36" s="181"/>
      <c r="B36" s="176"/>
      <c r="C36" s="176"/>
      <c r="D36" s="182"/>
      <c r="E36" s="177"/>
      <c r="F36" s="176"/>
      <c r="G36" s="179"/>
      <c r="H36" s="183" t="s">
        <v>33</v>
      </c>
      <c r="I36" s="183"/>
      <c r="J36" s="183"/>
      <c r="K36" s="184"/>
      <c r="L36" s="180"/>
      <c r="M36" s="139"/>
    </row>
    <row r="37" spans="1:13">
      <c r="A37" s="181"/>
      <c r="B37" s="176"/>
      <c r="C37" s="185"/>
      <c r="D37" s="177"/>
      <c r="E37" s="177"/>
      <c r="F37" s="176"/>
      <c r="G37" s="179"/>
      <c r="H37" s="186">
        <f>Setup!B10</f>
        <v>0</v>
      </c>
      <c r="I37" s="186"/>
      <c r="J37" s="186"/>
      <c r="K37" s="187"/>
      <c r="L37" s="180"/>
      <c r="M37" s="139"/>
    </row>
    <row r="38" spans="1:13">
      <c r="A38" s="176"/>
      <c r="B38" s="176"/>
      <c r="C38" s="176"/>
      <c r="D38" s="177"/>
      <c r="E38" s="177"/>
      <c r="F38" s="176"/>
      <c r="G38" s="179"/>
      <c r="H38" s="177"/>
      <c r="I38" s="179"/>
      <c r="J38" s="179"/>
      <c r="K38" s="180"/>
      <c r="L38" s="180"/>
      <c r="M38" s="139"/>
    </row>
    <row r="39" spans="1:13">
      <c r="A39" s="176"/>
      <c r="B39" s="176"/>
      <c r="C39" s="176"/>
      <c r="D39" s="177"/>
      <c r="E39" s="177"/>
      <c r="F39" s="176"/>
      <c r="G39" s="179"/>
      <c r="H39" s="177"/>
      <c r="I39" s="179"/>
      <c r="J39" s="179"/>
      <c r="K39" s="180"/>
      <c r="L39" s="180"/>
      <c r="M39" s="139"/>
    </row>
    <row r="40" spans="1:13">
      <c r="A40" s="180"/>
      <c r="B40" s="180"/>
      <c r="C40" s="188"/>
      <c r="D40" s="189"/>
      <c r="E40" s="190"/>
      <c r="F40" s="188"/>
      <c r="G40" s="139"/>
      <c r="H40" s="191"/>
      <c r="I40" s="139"/>
      <c r="J40" s="139"/>
      <c r="K40" s="180"/>
      <c r="L40" s="180"/>
      <c r="M40" s="139"/>
    </row>
    <row r="41" spans="1:13">
      <c r="A41" s="180"/>
      <c r="B41" s="180"/>
      <c r="C41" s="180"/>
      <c r="D41" s="191"/>
      <c r="E41" s="191"/>
      <c r="F41" s="180"/>
      <c r="G41" s="139"/>
      <c r="H41" s="191"/>
      <c r="I41" s="139"/>
      <c r="J41" s="139"/>
      <c r="K41" s="180"/>
      <c r="L41" s="180"/>
      <c r="M41" s="139"/>
    </row>
    <row r="42" spans="1:13">
      <c r="A42" s="180"/>
      <c r="B42" s="180"/>
      <c r="C42" s="188"/>
      <c r="D42" s="190"/>
      <c r="E42" s="190"/>
      <c r="F42" s="188"/>
      <c r="G42" s="139"/>
      <c r="H42" s="191"/>
      <c r="I42" s="139"/>
      <c r="J42" s="139"/>
      <c r="K42" s="180"/>
      <c r="L42" s="180"/>
      <c r="M42" s="139"/>
    </row>
    <row r="43" spans="1:13">
      <c r="A43" s="180"/>
      <c r="B43" s="180"/>
      <c r="C43" s="188"/>
      <c r="D43" s="190"/>
      <c r="E43" s="190"/>
      <c r="F43" s="188"/>
      <c r="G43" s="139"/>
      <c r="H43" s="191"/>
      <c r="I43" s="139"/>
      <c r="J43" s="139"/>
      <c r="K43" s="180"/>
      <c r="L43" s="180"/>
      <c r="M43" s="139"/>
    </row>
    <row r="44" spans="1:13">
      <c r="A44" s="180"/>
      <c r="B44" s="180"/>
      <c r="C44" s="180"/>
      <c r="D44" s="191"/>
      <c r="E44" s="191"/>
      <c r="F44" s="180"/>
      <c r="G44" s="139"/>
      <c r="H44" s="191"/>
      <c r="I44" s="139"/>
      <c r="J44" s="139"/>
      <c r="K44" s="180"/>
      <c r="L44" s="180"/>
      <c r="M44" s="139"/>
    </row>
    <row r="45" spans="1:13">
      <c r="A45" s="180"/>
      <c r="B45" s="180"/>
      <c r="C45" s="180"/>
      <c r="D45" s="191"/>
      <c r="E45" s="191"/>
      <c r="F45" s="180"/>
      <c r="G45" s="139"/>
      <c r="H45" s="191"/>
      <c r="I45" s="139"/>
      <c r="J45" s="139"/>
      <c r="K45" s="180"/>
      <c r="L45" s="180"/>
      <c r="M45" s="139"/>
    </row>
    <row r="46" spans="1:13">
      <c r="E46" s="193"/>
    </row>
    <row r="47" spans="1:13">
      <c r="E47" s="193"/>
    </row>
  </sheetData>
  <sheetProtection password="CF33" sheet="1" objects="1" scenarios="1" formatCells="0" formatColumns="0" formatRows="0" sort="0"/>
  <sortState ref="B3:L34">
    <sortCondition descending="1" ref="K3:K34"/>
  </sortState>
  <mergeCells count="1">
    <mergeCell ref="A1:I1"/>
  </mergeCells>
  <phoneticPr fontId="1" type="noConversion"/>
  <conditionalFormatting sqref="C39 C43 C41 B38 B6 B10 B32">
    <cfRule type="expression" dxfId="66" priority="6" stopIfTrue="1">
      <formula>#REF!="CU"</formula>
    </cfRule>
  </conditionalFormatting>
  <conditionalFormatting sqref="B12 B16">
    <cfRule type="expression" dxfId="65" priority="4" stopIfTrue="1">
      <formula>#REF!="CU"</formula>
    </cfRule>
  </conditionalFormatting>
  <conditionalFormatting sqref="B18 B22">
    <cfRule type="expression" dxfId="64" priority="3" stopIfTrue="1">
      <formula>#REF!="CU"</formula>
    </cfRule>
  </conditionalFormatting>
  <conditionalFormatting sqref="B24 B28">
    <cfRule type="expression" dxfId="63" priority="1" stopIfTrue="1">
      <formula>#REF!="CU"</formula>
    </cfRule>
  </conditionalFormatting>
  <printOptions horizontalCentered="1" gridLines="1"/>
  <pageMargins left="0.39370078740157483" right="0.39370078740157483" top="0.39370078740157483" bottom="0.39370078740157483" header="0.51181102362204722" footer="0.51181102362204722"/>
  <pageSetup paperSize="9" scale="95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>
    <tabColor rgb="FFFFFF00"/>
    <pageSetUpPr fitToPage="1"/>
  </sheetPr>
  <dimension ref="A1:T105"/>
  <sheetViews>
    <sheetView showGridLines="0" showZeros="0" tabSelected="1" zoomScale="110" workbookViewId="0">
      <pane ySplit="1" topLeftCell="A20" activePane="bottomLeft" state="frozen"/>
      <selection sqref="A1:E1"/>
      <selection pane="bottomLeft" activeCell="L43" sqref="L43"/>
    </sheetView>
  </sheetViews>
  <sheetFormatPr defaultColWidth="8.85546875" defaultRowHeight="11.25"/>
  <cols>
    <col min="1" max="1" width="2.42578125" style="214" bestFit="1" customWidth="1"/>
    <col min="2" max="2" width="2.28515625" style="214" hidden="1" customWidth="1"/>
    <col min="3" max="3" width="5.85546875" style="215" hidden="1" customWidth="1"/>
    <col min="4" max="4" width="5.28515625" style="216" hidden="1" customWidth="1"/>
    <col min="5" max="5" width="4.5703125" style="216" hidden="1" customWidth="1"/>
    <col min="6" max="6" width="3.42578125" style="215" bestFit="1" customWidth="1"/>
    <col min="7" max="7" width="6.28515625" style="217" customWidth="1"/>
    <col min="8" max="8" width="25.7109375" style="214" customWidth="1"/>
    <col min="9" max="9" width="12.85546875" style="214" hidden="1" customWidth="1"/>
    <col min="10" max="10" width="25.7109375" style="214" hidden="1" customWidth="1"/>
    <col min="11" max="11" width="1.5703125" style="284" bestFit="1" customWidth="1"/>
    <col min="12" max="12" width="13.5703125" style="214" bestFit="1" customWidth="1"/>
    <col min="13" max="13" width="1.5703125" style="235" bestFit="1" customWidth="1"/>
    <col min="14" max="14" width="13.5703125" style="214" bestFit="1" customWidth="1"/>
    <col min="15" max="15" width="1.42578125" style="235" bestFit="1" customWidth="1"/>
    <col min="16" max="16" width="13.5703125" style="139" bestFit="1" customWidth="1"/>
    <col min="17" max="17" width="1.42578125" style="234" bestFit="1" customWidth="1"/>
    <col min="18" max="18" width="13.5703125" style="139" bestFit="1" customWidth="1"/>
    <col min="19" max="19" width="8.85546875" style="139"/>
    <col min="20" max="20" width="28.28515625" style="214" bestFit="1" customWidth="1"/>
    <col min="21" max="16384" width="8.85546875" style="214"/>
  </cols>
  <sheetData>
    <row r="1" spans="1:19" s="205" customFormat="1" ht="18">
      <c r="A1" s="328" t="str">
        <f>Setup!$B$3 &amp; ", " &amp; Setup!$B$4 &amp; ", " &amp; Setup!$B$6 &amp; ", " &amp; Setup!$B$8 &amp; "-" &amp; Setup!$B$9</f>
        <v>Athlisis Tennis Club, 15th Open A.C. by F.Bozionelos S.A., , -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06"/>
      <c r="R1" s="307" t="str">
        <f>Setup!B7</f>
        <v>Mixted Doubles</v>
      </c>
      <c r="S1" s="204"/>
    </row>
    <row r="2" spans="1:19" s="213" customFormat="1" ht="8.25">
      <c r="A2" s="206"/>
      <c r="B2" s="207">
        <f>Setup!$B$18</f>
        <v>9</v>
      </c>
      <c r="C2" s="207"/>
      <c r="D2" s="208"/>
      <c r="E2" s="208"/>
      <c r="F2" s="107"/>
      <c r="G2" s="107"/>
      <c r="H2" s="209"/>
      <c r="I2" s="209"/>
      <c r="J2" s="209"/>
      <c r="K2" s="207"/>
      <c r="L2" s="209"/>
      <c r="M2" s="208"/>
      <c r="N2" s="209"/>
      <c r="O2" s="208"/>
      <c r="P2" s="210"/>
      <c r="Q2" s="211"/>
      <c r="R2" s="210"/>
      <c r="S2" s="212"/>
    </row>
    <row r="3" spans="1:19">
      <c r="H3" s="335">
        <v>32</v>
      </c>
      <c r="I3" s="335"/>
      <c r="J3" s="335"/>
      <c r="K3" s="218"/>
      <c r="L3" s="219">
        <v>16</v>
      </c>
      <c r="M3" s="220"/>
      <c r="N3" s="219">
        <v>8</v>
      </c>
      <c r="O3" s="220"/>
      <c r="P3" s="221">
        <v>4</v>
      </c>
      <c r="Q3" s="222"/>
      <c r="R3" s="221" t="s">
        <v>55</v>
      </c>
    </row>
    <row r="4" spans="1:19" s="215" customFormat="1">
      <c r="A4" s="223" t="s">
        <v>9</v>
      </c>
      <c r="B4" s="224"/>
      <c r="C4" s="225" t="s">
        <v>22</v>
      </c>
      <c r="D4" s="225" t="s">
        <v>31</v>
      </c>
      <c r="E4" s="225" t="s">
        <v>30</v>
      </c>
      <c r="F4" s="223" t="s">
        <v>10</v>
      </c>
      <c r="G4" s="223" t="s">
        <v>7</v>
      </c>
      <c r="H4" s="226" t="s">
        <v>6</v>
      </c>
      <c r="I4" s="225" t="s">
        <v>29</v>
      </c>
      <c r="J4" s="226" t="s">
        <v>8</v>
      </c>
      <c r="K4" s="207"/>
      <c r="M4" s="227"/>
      <c r="O4" s="227"/>
      <c r="P4" s="180"/>
      <c r="Q4" s="228"/>
      <c r="R4" s="180"/>
      <c r="S4" s="180"/>
    </row>
    <row r="5" spans="1:19">
      <c r="A5" s="331">
        <v>1</v>
      </c>
      <c r="B5" s="229">
        <v>1</v>
      </c>
      <c r="C5" s="230"/>
      <c r="D5" s="231"/>
      <c r="E5" s="232">
        <v>0</v>
      </c>
      <c r="F5" s="329">
        <f>VLOOKUP($B5,Setup!$K$2:$L$33,2,FALSE)</f>
        <v>1</v>
      </c>
      <c r="G5" s="286">
        <f>IF(Setup!$B$24="#",0,IF(F5&gt;0,VLOOKUP(F5,DrawPrep!$A$3:$I$34,3,FALSE),0))</f>
        <v>1726</v>
      </c>
      <c r="H5" s="303" t="str">
        <f>IF(G5&gt;0,VLOOKUP(G5,DrawPrep!$C$3:$E$34,2,FALSE),"bye")</f>
        <v>ΔΕΛΗ ΜΑΡΑ</v>
      </c>
      <c r="I5" s="233" t="str">
        <f>IF(G5&gt;0,LEFT(H5,FIND(" ",H5)-1),"")</f>
        <v>ΔΕΛΗ</v>
      </c>
      <c r="J5" s="295">
        <f>IF($G5&gt;0,VLOOKUP($G5,DrawPrep!$C$3:$E$34,3,FALSE),"")</f>
        <v>0</v>
      </c>
      <c r="K5" s="214"/>
      <c r="L5" s="308" t="str">
        <f>UPPER(IF($A$2="R",IF(OR(K6=1,K6="a"),G5,IF(OR(K6=2,K6="b"),G7,"")),IF(OR(K6=1,K6="1"),I5,IF(OR(K6=2,K6="b"),I7,""))))</f>
        <v>ΔΕΛΗ</v>
      </c>
      <c r="M5" s="234"/>
      <c r="N5" s="191"/>
      <c r="P5" s="191"/>
      <c r="R5" s="191"/>
    </row>
    <row r="6" spans="1:19">
      <c r="A6" s="332"/>
      <c r="B6" s="236"/>
      <c r="C6" s="237"/>
      <c r="D6" s="238"/>
      <c r="E6" s="239"/>
      <c r="F6" s="330"/>
      <c r="G6" s="287">
        <f>IF(Setup!$B$24="#",0,IF(F5&gt;0,VLOOKUP(F5,DrawPrep!$A$3:$I$34,7,FALSE),0))</f>
        <v>1995</v>
      </c>
      <c r="H6" s="304" t="str">
        <f>IF(G6&gt;0,VLOOKUP(G6,DrawPrep!$G$3:$I$34,2,FALSE)," ")</f>
        <v>ΚΟΥΡΟΥΝΙΩΤΗΣ ΓΙΑΝΝΗΣ</v>
      </c>
      <c r="I6" s="240" t="str">
        <f>IF(G6&gt;0,LEFT(H6,FIND(" ",H6)-1),"")</f>
        <v>ΚΟΥΡΟΥΝΙΩΤΗΣ</v>
      </c>
      <c r="J6" s="296">
        <f>IF($G6&gt;0,VLOOKUP($G6,DrawPrep!$G$3:$I$34,3,FALSE),"")</f>
        <v>0</v>
      </c>
      <c r="K6" s="241">
        <v>1</v>
      </c>
      <c r="L6" s="308" t="str">
        <f>UPPER(IF($A$2="R",IF(OR(K6=1,K6="a"),G6,IF(OR(K6=2,K6="b"),G8,"")),IF(OR(K6=1,K6="1"),I6,IF(OR(K6=2,K6="b"),I8,""))))</f>
        <v>ΚΟΥΡΟΥΝΙΩΤΗΣ</v>
      </c>
      <c r="M6" s="234"/>
      <c r="N6" s="191"/>
      <c r="P6" s="191"/>
      <c r="R6" s="191"/>
    </row>
    <row r="7" spans="1:19">
      <c r="A7" s="331">
        <v>2</v>
      </c>
      <c r="B7" s="242">
        <f>1-D7+8</f>
        <v>8</v>
      </c>
      <c r="C7" s="243">
        <v>1</v>
      </c>
      <c r="D7" s="244">
        <f>E7</f>
        <v>1</v>
      </c>
      <c r="E7" s="245">
        <f>IF($B$2&gt;=C7,1,0)</f>
        <v>1</v>
      </c>
      <c r="F7" s="329" t="str">
        <f>IF($B$2&gt;=C7,"-",VLOOKUP($B7,Setup!$K$2:$L$33,2,FALSE))</f>
        <v>-</v>
      </c>
      <c r="G7" s="288">
        <f>IF(Setup!$B$24="#",0,IF(NOT(F7="-"),VLOOKUP(F7,DrawPrep!$A$3:$I$34,3,FALSE),0))</f>
        <v>0</v>
      </c>
      <c r="H7" s="316" t="str">
        <f>IF(G7&gt;0,VLOOKUP(G7,DrawPrep!$C$3:$G$34,2,FALSE),"bye")</f>
        <v>bye</v>
      </c>
      <c r="I7" s="233" t="str">
        <f t="shared" ref="I7:I36" si="0">IF(G7&gt;0,LEFT(H7,FIND(" ",H7)-1),"")</f>
        <v/>
      </c>
      <c r="J7" s="297" t="str">
        <f>IF($G7&gt;0,VLOOKUP($G7,DrawPrep!$C$3:$E$34,3,FALSE),"")</f>
        <v/>
      </c>
      <c r="K7" s="207"/>
      <c r="L7" s="248"/>
      <c r="M7" s="214"/>
      <c r="N7" s="308" t="str">
        <f>UPPER(IF($A$2="R",IF(OR(M8=1,M8="a"),L5,IF(OR(M8=2,M7="b"),L9,"")),IF(OR(M8=1,M8="a"),L5,IF(OR(M8=2,M8="b"),L9,""))))</f>
        <v/>
      </c>
      <c r="O7" s="234"/>
      <c r="P7" s="191"/>
      <c r="R7" s="191"/>
    </row>
    <row r="8" spans="1:19">
      <c r="A8" s="332"/>
      <c r="B8" s="249"/>
      <c r="C8" s="250"/>
      <c r="D8" s="251"/>
      <c r="E8" s="252"/>
      <c r="F8" s="330"/>
      <c r="G8" s="289">
        <f>IF(Setup!$B$24="#",0,IF(NOT(F7="-"),VLOOKUP(F7,DrawPrep!$A$3:$I$34,7,FALSE),0))</f>
        <v>0</v>
      </c>
      <c r="H8" s="309" t="str">
        <f>IF(G8&gt;0,VLOOKUP(G8,DrawPrep!$G$3:$I$34,2,FALSE)," ")</f>
        <v xml:space="preserve"> </v>
      </c>
      <c r="I8" s="240" t="str">
        <f t="shared" si="0"/>
        <v/>
      </c>
      <c r="J8" s="298" t="str">
        <f>IF($G8&gt;0,VLOOKUP($G8,DrawPrep!$G$3:$I$34,3,FALSE),"")</f>
        <v/>
      </c>
      <c r="K8" s="207"/>
      <c r="L8" s="253"/>
      <c r="M8" s="254"/>
      <c r="N8" s="308" t="str">
        <f>UPPER(IF($A$2="R",IF(OR(M8=1,M8="a"),L6,IF(OR(M8=2,M8="b"),L10,"")),IF(OR(M8=1,M8="a"),L6,IF(OR(M8=2,M8="b"),L10,""))))</f>
        <v/>
      </c>
      <c r="O8" s="234"/>
      <c r="P8" s="191"/>
      <c r="R8" s="191"/>
    </row>
    <row r="9" spans="1:19">
      <c r="A9" s="333">
        <v>3</v>
      </c>
      <c r="B9" s="255">
        <f>2-D9+8</f>
        <v>9</v>
      </c>
      <c r="C9" s="256"/>
      <c r="D9" s="257">
        <f>D7+E9</f>
        <v>1</v>
      </c>
      <c r="E9" s="257">
        <v>0</v>
      </c>
      <c r="F9" s="326">
        <f>VLOOKUP($B9,Setup!$K$2:$L$33,2,FALSE)</f>
        <v>18</v>
      </c>
      <c r="G9" s="291">
        <f>IF(Setup!$B$24="#",0,IF(F9&gt;0,VLOOKUP(F9,DrawPrep!$A$3:$I$34,3,FALSE),0))</f>
        <v>1853</v>
      </c>
      <c r="H9" s="317" t="str">
        <f>IF(G9&gt;0,VLOOKUP(G9,DrawPrep!$C$3:$G$34,2,FALSE),"bye")</f>
        <v>ΠΟΜΑΚΗ ΑΓΓΕΛΙΚΗ</v>
      </c>
      <c r="I9" s="258" t="str">
        <f t="shared" si="0"/>
        <v>ΠΟΜΑΚΗ</v>
      </c>
      <c r="J9" s="299">
        <f>IF($G9&gt;0,VLOOKUP($G9,DrawPrep!$C$3:$E$34,3,FALSE),"")</f>
        <v>0</v>
      </c>
      <c r="K9" s="214"/>
      <c r="L9" s="308" t="str">
        <f>UPPER(IF($A$2="R",IF(OR(K10=1,K10="a"),G9,IF(OR(K10=2,K10="b"),G11,"")),IF(OR(K10=1,K10="1"),I9,IF(OR(K10=2,K10="b"),I11,""))))</f>
        <v/>
      </c>
      <c r="M9" s="259"/>
      <c r="N9" s="248"/>
      <c r="O9" s="234"/>
      <c r="P9" s="191"/>
      <c r="R9" s="191"/>
    </row>
    <row r="10" spans="1:19">
      <c r="A10" s="334"/>
      <c r="B10" s="260"/>
      <c r="C10" s="261"/>
      <c r="D10" s="262"/>
      <c r="E10" s="262"/>
      <c r="F10" s="327"/>
      <c r="G10" s="292">
        <f>IF(Setup!$B$24="#",0,IF(F9&gt;0,VLOOKUP(F9,DrawPrep!$A$3:$I$34,7,FALSE),0))</f>
        <v>1814</v>
      </c>
      <c r="H10" s="318" t="str">
        <f>IF(G10&gt;0,VLOOKUP(G10,DrawPrep!$G$3:$I$34,2,FALSE)," ")</f>
        <v>ΚΑΛΛΙΑΝΟΣ ΓΙΩΡΓΟΣ</v>
      </c>
      <c r="I10" s="265" t="str">
        <f t="shared" si="0"/>
        <v>ΚΑΛΛΙΑΝΟΣ</v>
      </c>
      <c r="J10" s="300">
        <f>IF($G10&gt;0,VLOOKUP($G10,DrawPrep!$G$3:$I$34,3,FALSE),"")</f>
        <v>0</v>
      </c>
      <c r="K10" s="241"/>
      <c r="L10" s="309" t="str">
        <f>UPPER(IF($A$2="R",IF(OR(K10=1,K10="a"),G10,IF(OR(K10=2,K10="b"),G12,"")),IF(OR(K10=1,K10="1"),I10,IF(OR(K10=2,K10="b"),I12,""))))</f>
        <v/>
      </c>
      <c r="M10" s="259"/>
      <c r="N10" s="253"/>
      <c r="O10" s="234"/>
      <c r="P10" s="191"/>
      <c r="R10" s="191"/>
    </row>
    <row r="11" spans="1:19">
      <c r="A11" s="333">
        <v>4</v>
      </c>
      <c r="B11" s="255">
        <f>3-D11+8</f>
        <v>10</v>
      </c>
      <c r="C11" s="256">
        <v>15</v>
      </c>
      <c r="D11" s="257">
        <f>D9+E11</f>
        <v>1</v>
      </c>
      <c r="E11" s="257">
        <f>IF($B$2&gt;=C11,1,0)</f>
        <v>0</v>
      </c>
      <c r="F11" s="326">
        <f>IF($B$2&gt;=C11,"-",VLOOKUP($B11,Setup!$K$2:$L$33,2,FALSE))</f>
        <v>16</v>
      </c>
      <c r="G11" s="291">
        <f>IF(Setup!$B$24="#",0,IF(NOT(F11="-"),VLOOKUP(F11,DrawPrep!$A$3:$I$34,3,FALSE),0))</f>
        <v>1812</v>
      </c>
      <c r="H11" s="317" t="str">
        <f>IF(G11&gt;0,VLOOKUP(G11,DrawPrep!$C$3:$G$34,2,FALSE),"bye")</f>
        <v>ΣΤΡΑΤΟΥ ΕΛΠΙΔΑ</v>
      </c>
      <c r="I11" s="258" t="str">
        <f t="shared" si="0"/>
        <v>ΣΤΡΑΤΟΥ</v>
      </c>
      <c r="J11" s="299">
        <f>IF($G11&gt;0,VLOOKUP($G11,DrawPrep!$C$3:$E$34,3,FALSE),"")</f>
        <v>0</v>
      </c>
      <c r="K11" s="207"/>
      <c r="L11" s="247"/>
      <c r="M11" s="234"/>
      <c r="N11" s="253"/>
      <c r="O11" s="214"/>
      <c r="P11" s="308" t="str">
        <f>UPPER(IF($A$2="R",IF(OR(O12=1,O12="a"),N7,IF(OR(O12=2,O12="b"),N15,"")),IF(OR(O12=1,O12="a"),N7,IF(OR(O12=2,O12="b"),N15,""))))</f>
        <v/>
      </c>
      <c r="R11" s="191"/>
    </row>
    <row r="12" spans="1:19">
      <c r="A12" s="334"/>
      <c r="B12" s="260"/>
      <c r="C12" s="261"/>
      <c r="D12" s="262"/>
      <c r="E12" s="262"/>
      <c r="F12" s="327"/>
      <c r="G12" s="292">
        <f>IF(Setup!$B$24="#",0,IF(NOT(F11="-"),VLOOKUP(F11,DrawPrep!$A$3:$I$34,7,FALSE),0))</f>
        <v>1921</v>
      </c>
      <c r="H12" s="318" t="str">
        <f>IF(G12&gt;0,VLOOKUP(G12,DrawPrep!$G$3:$I$34,2,FALSE)," ")</f>
        <v>ΚΟΝΤΟΣ ΤΑΣΟΣ</v>
      </c>
      <c r="I12" s="265" t="str">
        <f t="shared" si="0"/>
        <v>ΚΟΝΤΟΣ</v>
      </c>
      <c r="J12" s="300">
        <f>IF($G12&gt;0,VLOOKUP($G12,DrawPrep!$G$3:$I$34,3,FALSE),"")</f>
        <v>0</v>
      </c>
      <c r="K12" s="207"/>
      <c r="L12" s="216"/>
      <c r="M12" s="234"/>
      <c r="N12" s="253"/>
      <c r="O12" s="241"/>
      <c r="P12" s="308" t="str">
        <f>UPPER(IF($A$2="R",IF(OR(O12=1,O12="a"),N8,IF(OR(O12=2,O12="b"),N16,"")),IF(OR(O12=1,O12="a"),N8,IF(OR(O12=2,O12="b"),N16,""))))</f>
        <v/>
      </c>
      <c r="R12" s="191"/>
    </row>
    <row r="13" spans="1:19">
      <c r="A13" s="331">
        <v>5</v>
      </c>
      <c r="B13" s="242">
        <f>4-D13+8</f>
        <v>11</v>
      </c>
      <c r="C13" s="266"/>
      <c r="D13" s="244">
        <f>D11+E13</f>
        <v>1</v>
      </c>
      <c r="E13" s="267">
        <v>0</v>
      </c>
      <c r="F13" s="329">
        <f>VLOOKUP($B13,Setup!$K$2:$L$33,2,FALSE)</f>
        <v>20</v>
      </c>
      <c r="G13" s="288">
        <f>IF(Setup!$B$24="#",0,IF(F13&gt;0,VLOOKUP(F13,DrawPrep!$A$3:$I$34,3,FALSE),0))</f>
        <v>1945</v>
      </c>
      <c r="H13" s="316" t="str">
        <f>IF(G13&gt;0,VLOOKUP(G13,DrawPrep!$C$3:$G$34,2,FALSE),"bye")</f>
        <v>ΜΠΑΛΤΑ ΧΡΥΣΗ</v>
      </c>
      <c r="I13" s="233" t="str">
        <f t="shared" si="0"/>
        <v>ΜΠΑΛΤΑ</v>
      </c>
      <c r="J13" s="297">
        <f>IF($G13&gt;0,VLOOKUP($G13,DrawPrep!$C$3:$E$34,3,FALSE),"")</f>
        <v>0</v>
      </c>
      <c r="K13" s="214"/>
      <c r="L13" s="308" t="str">
        <f>UPPER(IF($A$2="R",IF(OR(K14=1,K14="a"),G13,IF(OR(K14=2,K14="b"),G15,"")),IF(OR(K14=1,K14="1"),I13,IF(OR(K14=2,K14="b"),I15,""))))</f>
        <v>ΜΠΑΛΤΑ</v>
      </c>
      <c r="M13" s="234"/>
      <c r="N13" s="253"/>
      <c r="O13" s="268"/>
      <c r="P13" s="248"/>
      <c r="R13" s="191"/>
    </row>
    <row r="14" spans="1:19">
      <c r="A14" s="332"/>
      <c r="B14" s="249"/>
      <c r="C14" s="269"/>
      <c r="D14" s="251"/>
      <c r="E14" s="270"/>
      <c r="F14" s="330"/>
      <c r="G14" s="289">
        <f>IF(Setup!$B$24="#",0,IF(F13&gt;0,VLOOKUP(F13,DrawPrep!$A$3:$I$34,7,FALSE),0))</f>
        <v>1963</v>
      </c>
      <c r="H14" s="309" t="str">
        <f>IF(G14&gt;0,VLOOKUP(G14,DrawPrep!$G$3:$I$34,2,FALSE)," ")</f>
        <v>ΠΑΠΠΑΣ ΣΠΥΡΟΣ</v>
      </c>
      <c r="I14" s="240" t="str">
        <f t="shared" si="0"/>
        <v>ΠΑΠΠΑΣ</v>
      </c>
      <c r="J14" s="298">
        <f>IF($G14&gt;0,VLOOKUP($G14,DrawPrep!$G$3:$I$34,3,FALSE),"")</f>
        <v>0</v>
      </c>
      <c r="K14" s="206">
        <v>1</v>
      </c>
      <c r="L14" s="308" t="str">
        <f>UPPER(IF($A$2="R",IF(OR(K14=1,K14="a"),G14,IF(OR(K14=2,K14="b"),G16,"")),IF(OR(K14=1,K14="1"),I14,IF(OR(K14=2,K14="b"),I16,""))))</f>
        <v>ΠΑΠΠΑΣ</v>
      </c>
      <c r="M14" s="234"/>
      <c r="N14" s="253"/>
      <c r="O14" s="234"/>
      <c r="P14" s="253"/>
      <c r="R14" s="191"/>
    </row>
    <row r="15" spans="1:19">
      <c r="A15" s="331">
        <v>6</v>
      </c>
      <c r="B15" s="242">
        <f>5-D15+8</f>
        <v>11</v>
      </c>
      <c r="C15" s="243">
        <v>9</v>
      </c>
      <c r="D15" s="244">
        <f>D13+E15</f>
        <v>2</v>
      </c>
      <c r="E15" s="245">
        <f>IF($B$2&gt;=C15,1,0)</f>
        <v>1</v>
      </c>
      <c r="F15" s="329" t="str">
        <f>IF($B$2&gt;=C15,"-",VLOOKUP($B15,Setup!$K$2:$L$33,2,FALSE))</f>
        <v>-</v>
      </c>
      <c r="G15" s="288">
        <f>IF(Setup!$B$24="#",0,IF(NOT(F15="-"),VLOOKUP(F15,DrawPrep!$A$3:$I$34,3,FALSE),0))</f>
        <v>0</v>
      </c>
      <c r="H15" s="316" t="str">
        <f>IF(G15&gt;0,VLOOKUP(G15,DrawPrep!$C$3:$G$34,2,FALSE),"bye")</f>
        <v>bye</v>
      </c>
      <c r="I15" s="233" t="str">
        <f t="shared" si="0"/>
        <v/>
      </c>
      <c r="J15" s="297" t="str">
        <f>IF($G15&gt;0,VLOOKUP($G15,DrawPrep!$C$3:$E$34,3,FALSE),"")</f>
        <v/>
      </c>
      <c r="K15" s="268"/>
      <c r="L15" s="248"/>
      <c r="M15" s="214"/>
      <c r="N15" s="310" t="str">
        <f>UPPER(IF($A$2="R",IF(OR(M16=1,M16="a"),L13,IF(OR(M16=2,M15="b"),L17,"")),IF(OR(M16=1,M16="a"),L13,IF(OR(M16=2,M16="b"),L17,""))))</f>
        <v>ΑΝΤΩΝΑΚΟΥ</v>
      </c>
      <c r="O15" s="234"/>
      <c r="P15" s="253"/>
      <c r="R15" s="191"/>
    </row>
    <row r="16" spans="1:19">
      <c r="A16" s="332"/>
      <c r="B16" s="249"/>
      <c r="C16" s="250"/>
      <c r="D16" s="251"/>
      <c r="E16" s="252"/>
      <c r="F16" s="330"/>
      <c r="G16" s="289">
        <f>IF(Setup!$B$24="#",0,IF(NOT(F15="-"),VLOOKUP(F15,DrawPrep!$A$3:$I$34,7,FALSE),0))</f>
        <v>0</v>
      </c>
      <c r="H16" s="309" t="str">
        <f>IF(G16&gt;0,VLOOKUP(G16,DrawPrep!$G$3:$I$34,2,FALSE)," ")</f>
        <v xml:space="preserve"> </v>
      </c>
      <c r="I16" s="240" t="str">
        <f t="shared" si="0"/>
        <v/>
      </c>
      <c r="J16" s="298" t="str">
        <f>IF($G16&gt;0,VLOOKUP($G16,DrawPrep!$G$3:$I$34,3,FALSE),"")</f>
        <v/>
      </c>
      <c r="K16" s="207"/>
      <c r="L16" s="253"/>
      <c r="M16" s="241">
        <v>2</v>
      </c>
      <c r="N16" s="309" t="str">
        <f>UPPER(IF($A$2="R",IF(OR(M16=1,M16="a"),L14,IF(OR(M16=2,M16="b"),L18,"")),IF(OR(M16=1,M16="a"),L14,IF(OR(M16=2,M16="b"),L18,""))))</f>
        <v>ΚΕΦΑΛΩΝΙΤΗΣ</v>
      </c>
      <c r="O16" s="234"/>
      <c r="P16" s="253"/>
      <c r="R16" s="191"/>
    </row>
    <row r="17" spans="1:18">
      <c r="A17" s="333">
        <v>7</v>
      </c>
      <c r="B17" s="255">
        <f>6-D17+8</f>
        <v>11</v>
      </c>
      <c r="C17" s="255">
        <f>VALUE(Setup!E5)</f>
        <v>8</v>
      </c>
      <c r="D17" s="257">
        <f>D15+E17</f>
        <v>3</v>
      </c>
      <c r="E17" s="257">
        <f>IF($B$2&gt;=C17,1,0)</f>
        <v>1</v>
      </c>
      <c r="F17" s="326" t="str">
        <f>IF($B$2&gt;=C17,"-",VLOOKUP($B17,Setup!$K$2:$L$33,2,FALSE))</f>
        <v>-</v>
      </c>
      <c r="G17" s="291">
        <f>IF(Setup!$B$24="#",0,IF(NOT(F17="-"),VLOOKUP(F17,DrawPrep!$A$3:$I$34,3,FALSE),0))</f>
        <v>0</v>
      </c>
      <c r="H17" s="317" t="str">
        <f>IF(G17&gt;0,VLOOKUP(G17,DrawPrep!$C$3:$G$34,2,FALSE),"bye")</f>
        <v>bye</v>
      </c>
      <c r="I17" s="258" t="str">
        <f t="shared" si="0"/>
        <v/>
      </c>
      <c r="J17" s="299" t="str">
        <f>IF($G17&gt;0,VLOOKUP($G17,DrawPrep!$C$3:$E$34,3,FALSE),"")</f>
        <v/>
      </c>
      <c r="K17" s="214"/>
      <c r="L17" s="310" t="str">
        <f>UPPER(IF($A$2="R",IF(OR(K18=1,K18="a"),G17,IF(OR(K18=2,K18="b"),G19,"")),IF(OR(K18=1,K18="1"),I17,IF(OR(K18=2,K18="b"),I19,""))))</f>
        <v>ΑΝΤΩΝΑΚΟΥ</v>
      </c>
      <c r="M17" s="207"/>
      <c r="N17" s="319" t="s">
        <v>107</v>
      </c>
      <c r="O17" s="234"/>
      <c r="P17" s="253"/>
      <c r="R17" s="191"/>
    </row>
    <row r="18" spans="1:18">
      <c r="A18" s="334"/>
      <c r="B18" s="260"/>
      <c r="C18" s="261"/>
      <c r="D18" s="262"/>
      <c r="E18" s="262"/>
      <c r="F18" s="327"/>
      <c r="G18" s="292">
        <f>IF(Setup!$B$24="#",0,IF(NOT(F17="-"),VLOOKUP(F17,DrawPrep!$A$3:$I$34,7,FALSE),0))</f>
        <v>0</v>
      </c>
      <c r="H18" s="318" t="str">
        <f>IF(G18&gt;0,VLOOKUP(G18,DrawPrep!$G$3:$I$34,2,FALSE)," ")</f>
        <v xml:space="preserve"> </v>
      </c>
      <c r="I18" s="265" t="str">
        <f>IF(G18&gt;0,LEFT(H18,FIND(" ",H18)-1),"")</f>
        <v/>
      </c>
      <c r="J18" s="300" t="str">
        <f>IF($G18&gt;0,VLOOKUP($G18,DrawPrep!$G$3:$I$34,3,FALSE),"")</f>
        <v/>
      </c>
      <c r="K18" s="241">
        <v>2</v>
      </c>
      <c r="L18" s="309" t="str">
        <f>UPPER(IF($A$2="R",IF(OR(K18=1,K18="a"),G18,IF(OR(K18=2,K18="b"),G20,"")),IF(OR(K18=1,K18="1"),I18,IF(OR(K18=2,K18="b"),I20,""))))</f>
        <v>ΚΕΦΑΛΩΝΙΤΗΣ</v>
      </c>
      <c r="M18" s="207"/>
      <c r="N18" s="191"/>
      <c r="O18" s="234"/>
      <c r="P18" s="253"/>
      <c r="R18" s="191"/>
    </row>
    <row r="19" spans="1:18">
      <c r="A19" s="333">
        <v>8</v>
      </c>
      <c r="B19" s="255">
        <f>VALUE(Setup!E5)</f>
        <v>8</v>
      </c>
      <c r="C19" s="256"/>
      <c r="D19" s="257">
        <f>D17+E19</f>
        <v>3</v>
      </c>
      <c r="E19" s="257">
        <v>0</v>
      </c>
      <c r="F19" s="326">
        <f>VLOOKUP($B19,Setup!$K$2:$L$33,2,FALSE)</f>
        <v>8</v>
      </c>
      <c r="G19" s="293">
        <f>IF(Setup!$B$24="#",0,IF(F19&gt;0,VLOOKUP(F19,DrawPrep!$A$3:$I$34,3,FALSE),0))</f>
        <v>1755</v>
      </c>
      <c r="H19" s="301" t="str">
        <f>IF(G19&gt;0,VLOOKUP(G19,DrawPrep!$C$3:$G$34,2,FALSE),"bye")</f>
        <v>ΑΝΤΩΝΑΚΟΥ ΔΗΜΗΤΡΑ</v>
      </c>
      <c r="I19" s="258" t="str">
        <f t="shared" si="0"/>
        <v>ΑΝΤΩΝΑΚΟΥ</v>
      </c>
      <c r="J19" s="301">
        <f>IF($G19&gt;0,VLOOKUP($G19,DrawPrep!$C$3:$E$34,3,FALSE),"")</f>
        <v>0</v>
      </c>
      <c r="K19" s="207"/>
      <c r="L19" s="191"/>
      <c r="N19" s="191"/>
      <c r="P19" s="253"/>
      <c r="Q19" s="207"/>
      <c r="R19" s="311" t="str">
        <f>UPPER(IF($A$2="R",IF(OR(Q20=1,Q20="a"),P11,IF(OR(Q20=2,Q20="b"),P27,"")),IF(OR(Q20=1,Q20="a"),P11,IF(OR(Q20=2,Q20="b"),P27,""))))</f>
        <v/>
      </c>
    </row>
    <row r="20" spans="1:18">
      <c r="A20" s="334"/>
      <c r="B20" s="260"/>
      <c r="C20" s="261"/>
      <c r="D20" s="262"/>
      <c r="E20" s="262"/>
      <c r="F20" s="327"/>
      <c r="G20" s="294">
        <f>IF(Setup!$B$24="#",0,IF(F19&gt;0,VLOOKUP(F19,DrawPrep!$A$3:$I$34,7,FALSE),0))</f>
        <v>1704</v>
      </c>
      <c r="H20" s="302" t="str">
        <f>IF(G20&gt;0,VLOOKUP(G20,DrawPrep!$G$3:$I$34,2,FALSE)," ")</f>
        <v>ΚΕΦΑΛΩΝΙΤΗΣ ΝΙΚΗΦΟΡΟΣ</v>
      </c>
      <c r="I20" s="265" t="str">
        <f t="shared" si="0"/>
        <v>ΚΕΦΑΛΩΝΙΤΗΣ</v>
      </c>
      <c r="J20" s="302">
        <f>IF($G20&gt;0,VLOOKUP($G20,DrawPrep!$G$3:$I$34,3,FALSE),"")</f>
        <v>0</v>
      </c>
      <c r="K20" s="207"/>
      <c r="L20" s="191"/>
      <c r="N20" s="191"/>
      <c r="P20" s="253"/>
      <c r="Q20" s="254"/>
      <c r="R20" s="311" t="str">
        <f>UPPER(IF($A$2="R",IF(OR(Q20=1,Q20="a"),P12,IF(OR(Q20=2,Q20="b"),P28,"")),IF(OR(Q20=1,Q20="a"),P12,IF(OR(Q20=2,Q20="b"),P28,""))))</f>
        <v/>
      </c>
    </row>
    <row r="21" spans="1:18">
      <c r="A21" s="331">
        <v>9</v>
      </c>
      <c r="B21" s="271">
        <f>VALUE(Setup!E2)</f>
        <v>4</v>
      </c>
      <c r="C21" s="266"/>
      <c r="D21" s="244">
        <f>D19+E21</f>
        <v>3</v>
      </c>
      <c r="E21" s="267">
        <v>0</v>
      </c>
      <c r="F21" s="329">
        <f>VLOOKUP($B21,Setup!$K$2:$L$33,2,FALSE)</f>
        <v>4</v>
      </c>
      <c r="G21" s="286">
        <f>IF(Setup!$B$24="#",0,IF(F21&gt;0,VLOOKUP(F21,DrawPrep!$A$3:$I$34,3,FALSE),0))</f>
        <v>1828</v>
      </c>
      <c r="H21" s="303" t="str">
        <f>IF(G21&gt;0,VLOOKUP(G21,DrawPrep!$C$3:$G$34,2,FALSE),"bye")</f>
        <v>ΣΟΓΙΑ ΕΡΗ</v>
      </c>
      <c r="I21" s="233" t="str">
        <f t="shared" si="0"/>
        <v>ΣΟΓΙΑ</v>
      </c>
      <c r="J21" s="303">
        <f>IF($G21&gt;0,VLOOKUP($G21,DrawPrep!$C$3:$E$34,3,FALSE),"")</f>
        <v>0</v>
      </c>
      <c r="K21" s="214"/>
      <c r="L21" s="308" t="str">
        <f>UPPER(IF($A$2="R",IF(OR(K22=1,K22="a"),G21,IF(OR(K22=2,K22="b"),G23,"")),IF(OR(K22=1,K22="1"),I21,IF(OR(K22=2,K22="b"),I23,""))))</f>
        <v>ΣΟΓΙΑ</v>
      </c>
      <c r="M21" s="234"/>
      <c r="N21" s="191"/>
      <c r="P21" s="253"/>
      <c r="R21" s="272"/>
    </row>
    <row r="22" spans="1:18">
      <c r="A22" s="332"/>
      <c r="B22" s="273"/>
      <c r="C22" s="269"/>
      <c r="D22" s="251"/>
      <c r="E22" s="270"/>
      <c r="F22" s="330"/>
      <c r="G22" s="287">
        <f>IF(Setup!$B$24="#",0,IF(F21&gt;0,VLOOKUP(F21,DrawPrep!$A$3:$I$34,7,FALSE),0))</f>
        <v>1707</v>
      </c>
      <c r="H22" s="304" t="str">
        <f>IF(G22&gt;0,VLOOKUP(G22,DrawPrep!$G$3:$I$34,2,FALSE)," ")</f>
        <v>ΠΑΝΑΓΙΩΤΟΠΟΥΛΟΣ ΧΡΗΣΤΟΣ</v>
      </c>
      <c r="I22" s="240" t="str">
        <f t="shared" si="0"/>
        <v>ΠΑΝΑΓΙΩΤΟΠΟΥΛΟΣ</v>
      </c>
      <c r="J22" s="304">
        <f>IF($G22&gt;0,VLOOKUP($G22,DrawPrep!$G$3:$I$34,3,FALSE),"")</f>
        <v>0</v>
      </c>
      <c r="K22" s="241">
        <v>1</v>
      </c>
      <c r="L22" s="308" t="str">
        <f>UPPER(IF($A$2="R",IF(OR(K22=1,K22="a"),G22,IF(OR(K22=2,K22="b"),G24,"")),IF(OR(K22=1,K22="1"),I22,IF(OR(K22=2,K22="b"),I24,""))))</f>
        <v>ΠΑΝΑΓΙΩΤΟΠΟΥΛΟΣ</v>
      </c>
      <c r="M22" s="234"/>
      <c r="N22" s="191"/>
      <c r="P22" s="253"/>
      <c r="R22" s="274"/>
    </row>
    <row r="23" spans="1:18">
      <c r="A23" s="331">
        <v>10</v>
      </c>
      <c r="B23" s="242">
        <f>7-D23+8</f>
        <v>11</v>
      </c>
      <c r="C23" s="271">
        <f>VALUE(Setup!E2)</f>
        <v>4</v>
      </c>
      <c r="D23" s="244">
        <f>D21+E23</f>
        <v>4</v>
      </c>
      <c r="E23" s="245">
        <f>IF($B$2&gt;=C23,1,0)</f>
        <v>1</v>
      </c>
      <c r="F23" s="329" t="str">
        <f>IF($B$2&gt;=C23,"-",VLOOKUP($B23,Setup!$K$2:$L$33,2,FALSE))</f>
        <v>-</v>
      </c>
      <c r="G23" s="288">
        <f>IF(Setup!$B$24="#",0,IF(NOT(F23="-"),VLOOKUP(F23,DrawPrep!$A$3:$I$34,3,FALSE),0))</f>
        <v>0</v>
      </c>
      <c r="H23" s="316" t="str">
        <f>IF(G23&gt;0,VLOOKUP(G23,DrawPrep!$C$3:$G$34,2,FALSE),"bye")</f>
        <v>bye</v>
      </c>
      <c r="I23" s="233" t="str">
        <f t="shared" si="0"/>
        <v/>
      </c>
      <c r="J23" s="297" t="str">
        <f>IF($G23&gt;0,VLOOKUP($G23,DrawPrep!$C$3:$E$34,3,FALSE),"")</f>
        <v/>
      </c>
      <c r="K23" s="207"/>
      <c r="L23" s="248"/>
      <c r="M23" s="214"/>
      <c r="N23" s="308" t="str">
        <f>UPPER(IF($A$2="R",IF(OR(M24=1,M24="a"),L21,IF(OR(M24=2,M23="b"),L25,"")),IF(OR(M24=1,M24="a"),L21,IF(OR(M24=2,M24="b"),L25,""))))</f>
        <v/>
      </c>
      <c r="O23" s="234"/>
      <c r="P23" s="253"/>
      <c r="R23" s="274"/>
    </row>
    <row r="24" spans="1:18">
      <c r="A24" s="332"/>
      <c r="B24" s="249"/>
      <c r="C24" s="275"/>
      <c r="D24" s="251"/>
      <c r="E24" s="252"/>
      <c r="F24" s="330"/>
      <c r="G24" s="289">
        <f>IF(Setup!$B$24="#",0,IF(NOT(F23="-"),VLOOKUP(F23,DrawPrep!$A$3:$I$34,7,FALSE),0))</f>
        <v>0</v>
      </c>
      <c r="H24" s="309" t="str">
        <f>IF(G24&gt;0,VLOOKUP(G24,DrawPrep!$G$3:$I$34,2,FALSE)," ")</f>
        <v xml:space="preserve"> </v>
      </c>
      <c r="I24" s="240" t="str">
        <f t="shared" si="0"/>
        <v/>
      </c>
      <c r="J24" s="298" t="str">
        <f>IF($G24&gt;0,VLOOKUP($G24,DrawPrep!$G$3:$I$34,3,FALSE),"")</f>
        <v/>
      </c>
      <c r="K24" s="207"/>
      <c r="L24" s="253"/>
      <c r="M24" s="254"/>
      <c r="N24" s="308" t="str">
        <f>UPPER(IF($A$2="R",IF(OR(M24=1,M24="a"),L22,IF(OR(M24=2,M24="b"),L26,"")),IF(OR(M24=1,M24="a"),L22,IF(OR(M24=2,M24="b"),L26,""))))</f>
        <v/>
      </c>
      <c r="O24" s="234"/>
      <c r="P24" s="253"/>
      <c r="R24" s="274"/>
    </row>
    <row r="25" spans="1:18">
      <c r="A25" s="333">
        <v>11</v>
      </c>
      <c r="B25" s="255">
        <f>8-D25+8</f>
        <v>12</v>
      </c>
      <c r="C25" s="256"/>
      <c r="D25" s="257">
        <f>D23+E25</f>
        <v>4</v>
      </c>
      <c r="E25" s="257">
        <v>0</v>
      </c>
      <c r="F25" s="326">
        <f>VLOOKUP($B25,Setup!$K$2:$L$33,2,FALSE)</f>
        <v>19</v>
      </c>
      <c r="G25" s="291">
        <f>IF(Setup!$B$24="#",0,IF(F25&gt;0,VLOOKUP(F25,DrawPrep!$A$3:$I$34,3,FALSE),0))</f>
        <v>2051</v>
      </c>
      <c r="H25" s="317" t="str">
        <f>IF(G25&gt;0,VLOOKUP(G25,DrawPrep!$C$3:$G$34,2,FALSE),"bye")</f>
        <v>ΜΙΝΤΡΟΥ ΧΡΙΣΤΙΝΑ</v>
      </c>
      <c r="I25" s="258" t="str">
        <f t="shared" si="0"/>
        <v>ΜΙΝΤΡΟΥ</v>
      </c>
      <c r="J25" s="299">
        <f>IF($G25&gt;0,VLOOKUP($G25,DrawPrep!$C$3:$E$34,3,FALSE),"")</f>
        <v>0</v>
      </c>
      <c r="K25" s="214"/>
      <c r="L25" s="308" t="str">
        <f>UPPER(IF($A$2="R",IF(OR(K26=1,K26="a"),G25,IF(OR(K26=2,K26="b"),G27,"")),IF(OR(K26=1,K26="1"),I25,IF(OR(K26=2,K26="b"),I27,""))))</f>
        <v>ΣΤΕΦΑΝΟΥ</v>
      </c>
      <c r="M25" s="259"/>
      <c r="N25" s="248"/>
      <c r="O25" s="234"/>
      <c r="P25" s="253"/>
      <c r="R25" s="274"/>
    </row>
    <row r="26" spans="1:18">
      <c r="A26" s="334"/>
      <c r="B26" s="260"/>
      <c r="C26" s="261"/>
      <c r="D26" s="262"/>
      <c r="E26" s="262"/>
      <c r="F26" s="327"/>
      <c r="G26" s="292">
        <f>IF(Setup!$B$24="#",0,IF(F25&gt;0,VLOOKUP(F25,DrawPrep!$A$3:$I$34,7,FALSE),0))</f>
        <v>2083</v>
      </c>
      <c r="H26" s="318" t="str">
        <f>IF(G26&gt;0,VLOOKUP(G26,DrawPrep!$G$3:$I$34,2,FALSE)," ")</f>
        <v>ΗΛΙΟΠΟΥΛΟΣ ΠΑΝΟΣ</v>
      </c>
      <c r="I26" s="265" t="str">
        <f t="shared" si="0"/>
        <v>ΗΛΙΟΠΟΥΛΟΣ</v>
      </c>
      <c r="J26" s="300">
        <f>IF($G26&gt;0,VLOOKUP($G26,DrawPrep!$G$3:$I$34,3,FALSE),"")</f>
        <v>0</v>
      </c>
      <c r="K26" s="241">
        <v>2</v>
      </c>
      <c r="L26" s="308" t="str">
        <f>UPPER(IF($A$2="R",IF(OR(K26=1,K26="a"),G26,IF(OR(K26=2,K26="b"),G28,"")),IF(OR(K26=1,K26="1"),I26,IF(OR(K26=2,K26="b"),I28,""))))</f>
        <v>ΣΠΑΝΟΣ</v>
      </c>
      <c r="M26" s="259"/>
      <c r="N26" s="253"/>
      <c r="O26" s="234"/>
      <c r="P26" s="253"/>
      <c r="R26" s="274"/>
    </row>
    <row r="27" spans="1:18">
      <c r="A27" s="333">
        <v>12</v>
      </c>
      <c r="B27" s="255">
        <f>9-D27+8</f>
        <v>13</v>
      </c>
      <c r="C27" s="256">
        <v>13</v>
      </c>
      <c r="D27" s="257">
        <f>D25+E27</f>
        <v>4</v>
      </c>
      <c r="E27" s="257">
        <f>IF($B$2&gt;=C27,1,0)</f>
        <v>0</v>
      </c>
      <c r="F27" s="326">
        <f>IF($B$2&gt;=C27,"-",VLOOKUP($B27,Setup!$K$2:$L$33,2,FALSE))</f>
        <v>12</v>
      </c>
      <c r="G27" s="291">
        <f>IF(Setup!$B$24="#",0,IF(NOT(F27="-"),VLOOKUP(F27,DrawPrep!$A$3:$I$34,3,FALSE),0))</f>
        <v>2105</v>
      </c>
      <c r="H27" s="317" t="str">
        <f>IF(G27&gt;0,VLOOKUP(G27,DrawPrep!$C$3:$G$34,2,FALSE),"bye")</f>
        <v>ΣΤΕΦΑΝΟΥ ΜΑΡΙΑ</v>
      </c>
      <c r="I27" s="258" t="str">
        <f t="shared" si="0"/>
        <v>ΣΤΕΦΑΝΟΥ</v>
      </c>
      <c r="J27" s="299">
        <f>IF($G27&gt;0,VLOOKUP($G27,DrawPrep!$C$3:$E$34,3,FALSE),"")</f>
        <v>0</v>
      </c>
      <c r="K27" s="207"/>
      <c r="L27" s="319" t="s">
        <v>110</v>
      </c>
      <c r="M27" s="234"/>
      <c r="N27" s="253"/>
      <c r="O27" s="214"/>
      <c r="P27" s="310" t="str">
        <f>UPPER(IF($A$2="R",IF(OR(O28=1,O28="a"),N23,IF(OR(O28=2,O28="b"),N31,"")),IF(OR(O28=1,O28="a"),N23,IF(OR(O28=2,O28="b"),N31,""))))</f>
        <v/>
      </c>
      <c r="R27" s="274"/>
    </row>
    <row r="28" spans="1:18">
      <c r="A28" s="334"/>
      <c r="B28" s="260"/>
      <c r="C28" s="261"/>
      <c r="D28" s="262"/>
      <c r="E28" s="262"/>
      <c r="F28" s="327"/>
      <c r="G28" s="292">
        <f>IF(Setup!$B$24="#",0,IF(NOT(F27="-"),VLOOKUP(F27,DrawPrep!$A$3:$I$34,7,FALSE),0))</f>
        <v>2106</v>
      </c>
      <c r="H28" s="318" t="str">
        <f>IF(G28&gt;0,VLOOKUP(G28,DrawPrep!$G$3:$I$34,2,FALSE)," ")</f>
        <v>ΣΠΑΝΟΣ ΧΡΗΣΤΟΣ</v>
      </c>
      <c r="I28" s="265" t="str">
        <f t="shared" si="0"/>
        <v>ΣΠΑΝΟΣ</v>
      </c>
      <c r="J28" s="300">
        <f>IF($G28&gt;0,VLOOKUP($G28,DrawPrep!$G$3:$I$34,3,FALSE),"")</f>
        <v>0</v>
      </c>
      <c r="K28" s="207"/>
      <c r="L28" s="216"/>
      <c r="M28" s="234"/>
      <c r="N28" s="253"/>
      <c r="O28" s="241"/>
      <c r="P28" s="309" t="str">
        <f>UPPER(IF($A$2="R",IF(OR(O28=1,O28="a"),N24,IF(OR(O28=2,O28="b"),N32,"")),IF(OR(O28=1,O28="a"),N24,IF(OR(O28=2,O28="b"),N32,""))))</f>
        <v/>
      </c>
      <c r="R28" s="274"/>
    </row>
    <row r="29" spans="1:18">
      <c r="A29" s="331">
        <v>13</v>
      </c>
      <c r="B29" s="242">
        <f>10-D29+8</f>
        <v>14</v>
      </c>
      <c r="C29" s="266"/>
      <c r="D29" s="244">
        <f>D27+E29</f>
        <v>4</v>
      </c>
      <c r="E29" s="267">
        <v>0</v>
      </c>
      <c r="F29" s="329">
        <f>VLOOKUP($B29,Setup!$K$2:$L$33,2,FALSE)</f>
        <v>15</v>
      </c>
      <c r="G29" s="288">
        <f>IF(Setup!$B$24="#",0,IF(F29&gt;0,VLOOKUP(F29,DrawPrep!$A$3:$I$34,3,FALSE),0))</f>
        <v>2019</v>
      </c>
      <c r="H29" s="316" t="str">
        <f>IF(G29&gt;0,VLOOKUP(G29,DrawPrep!$C$3:$G$34,2,FALSE),"bye")</f>
        <v>DE GREVE ELKE</v>
      </c>
      <c r="I29" s="233" t="str">
        <f t="shared" si="0"/>
        <v>DE</v>
      </c>
      <c r="J29" s="297">
        <f>IF($G29&gt;0,VLOOKUP($G29,DrawPrep!$C$3:$E$34,3,FALSE),"")</f>
        <v>0</v>
      </c>
      <c r="K29" s="214"/>
      <c r="L29" s="308" t="str">
        <f>UPPER(IF($A$2="R",IF(OR(K30=1,K30="a"),G29,IF(OR(K30=2,K30="b"),G31,"")),IF(OR(K30=1,K30="1"),I29,IF(OR(K30=2,K30="b"),I31,""))))</f>
        <v/>
      </c>
      <c r="M29" s="234"/>
      <c r="N29" s="253"/>
      <c r="O29" s="207"/>
      <c r="P29" s="247"/>
      <c r="R29" s="274"/>
    </row>
    <row r="30" spans="1:18">
      <c r="A30" s="332"/>
      <c r="B30" s="249"/>
      <c r="C30" s="269"/>
      <c r="D30" s="251"/>
      <c r="E30" s="270"/>
      <c r="F30" s="330"/>
      <c r="G30" s="289">
        <f>IF(Setup!$B$24="#",0,IF(F29&gt;0,VLOOKUP(F29,DrawPrep!$A$3:$I$34,7,FALSE),0))</f>
        <v>1733</v>
      </c>
      <c r="H30" s="309" t="str">
        <f>IF(G30&gt;0,VLOOKUP(G30,DrawPrep!$G$3:$I$34,2,FALSE)," ")</f>
        <v>ΔΙΑΜΑΝΤΗΣ ΣΤΡΑΤΟΣ</v>
      </c>
      <c r="I30" s="240" t="str">
        <f t="shared" si="0"/>
        <v>ΔΙΑΜΑΝΤΗΣ</v>
      </c>
      <c r="J30" s="298">
        <f>IF($G30&gt;0,VLOOKUP($G30,DrawPrep!$G$3:$I$34,3,FALSE),"")</f>
        <v>0</v>
      </c>
      <c r="K30" s="206"/>
      <c r="L30" s="308" t="str">
        <f>UPPER(IF($A$2="R",IF(OR(K30=1,K30="a"),G30,IF(OR(K30=2,K30="b"),G32,"")),IF(OR(K30=1,K30="1"),I30,IF(OR(K30=2,K30="b"),I32,""))))</f>
        <v/>
      </c>
      <c r="M30" s="234"/>
      <c r="N30" s="253"/>
      <c r="O30" s="234"/>
      <c r="P30" s="191"/>
      <c r="R30" s="274"/>
    </row>
    <row r="31" spans="1:18">
      <c r="A31" s="331">
        <v>14</v>
      </c>
      <c r="B31" s="242">
        <f>11-D31+8</f>
        <v>15</v>
      </c>
      <c r="C31" s="243">
        <v>11</v>
      </c>
      <c r="D31" s="244">
        <f>D29+E31</f>
        <v>4</v>
      </c>
      <c r="E31" s="245">
        <f>IF($B$2&gt;=C31,1,0)</f>
        <v>0</v>
      </c>
      <c r="F31" s="329">
        <f>IF($B$2&gt;=C31,"-",VLOOKUP($B31,Setup!$K$2:$L$33,2,FALSE))</f>
        <v>9</v>
      </c>
      <c r="G31" s="288">
        <f>IF(Setup!$B$24="#",0,IF(NOT(F31="-"),VLOOKUP(F31,DrawPrep!$A$3:$I$34,3,FALSE),0))</f>
        <v>1993</v>
      </c>
      <c r="H31" s="316" t="str">
        <f>IF(G31&gt;0,VLOOKUP(G31,DrawPrep!$C$3:$G$34,2,FALSE),"bye")</f>
        <v>ΜΙΧΑΛΟΠΟΥΛΟΥ ΤΟΝΙΑ</v>
      </c>
      <c r="I31" s="233" t="str">
        <f t="shared" si="0"/>
        <v>ΜΙΧΑΛΟΠΟΥΛΟΥ</v>
      </c>
      <c r="J31" s="297">
        <f>IF($G31&gt;0,VLOOKUP($G31,DrawPrep!$C$3:$E$34,3,FALSE),"")</f>
        <v>0</v>
      </c>
      <c r="K31" s="268"/>
      <c r="L31" s="248"/>
      <c r="M31" s="214"/>
      <c r="N31" s="310" t="str">
        <f>UPPER(IF($A$2="R",IF(OR(M32=1,M32="a"),L29,IF(OR(M32=2,M31="b"),L33,"")),IF(OR(M32=1,M32="a"),L29,IF(OR(M32=2,M32="b"),L33,""))))</f>
        <v/>
      </c>
      <c r="O31" s="234"/>
      <c r="P31" s="191"/>
      <c r="R31" s="274"/>
    </row>
    <row r="32" spans="1:18">
      <c r="A32" s="332"/>
      <c r="B32" s="249"/>
      <c r="C32" s="250"/>
      <c r="D32" s="251"/>
      <c r="E32" s="252"/>
      <c r="F32" s="330"/>
      <c r="G32" s="289">
        <f>IF(Setup!$B$24="#",0,IF(NOT(F31="-"),VLOOKUP(F31,DrawPrep!$A$3:$I$34,7,FALSE),0))</f>
        <v>1846</v>
      </c>
      <c r="H32" s="309" t="str">
        <f>IF(G32&gt;0,VLOOKUP(G32,DrawPrep!$G$3:$I$34,2,FALSE)," ")</f>
        <v>ΜΠΟΥΡΗΣ ΦΑΝΗΣ</v>
      </c>
      <c r="I32" s="240" t="str">
        <f t="shared" si="0"/>
        <v>ΜΠΟΥΡΗΣ</v>
      </c>
      <c r="J32" s="298">
        <f>IF($G32&gt;0,VLOOKUP($G32,DrawPrep!$G$3:$I$34,3,FALSE),"")</f>
        <v>0</v>
      </c>
      <c r="K32" s="207"/>
      <c r="L32" s="253"/>
      <c r="M32" s="241"/>
      <c r="N32" s="309" t="str">
        <f>UPPER(IF($A$2="R",IF(OR(M32=1,M32="a"),L30,IF(OR(M32=2,M32="b"),L34,"")),IF(OR(M32=1,M32="a"),L30,IF(OR(M32=2,M32="b"),L34,""))))</f>
        <v/>
      </c>
      <c r="O32" s="234"/>
      <c r="P32" s="191"/>
      <c r="R32" s="274"/>
    </row>
    <row r="33" spans="1:18">
      <c r="A33" s="333">
        <v>15</v>
      </c>
      <c r="B33" s="255">
        <f>12-D33+8</f>
        <v>15</v>
      </c>
      <c r="C33" s="255">
        <f>VALUE(Setup!E6)</f>
        <v>7</v>
      </c>
      <c r="D33" s="257">
        <f>D31+E33</f>
        <v>5</v>
      </c>
      <c r="E33" s="257">
        <f>IF($B$2&gt;=C33,1,0)</f>
        <v>1</v>
      </c>
      <c r="F33" s="326" t="str">
        <f>IF($B$2&gt;=C33,"-",VLOOKUP($B33,Setup!$K$2:$L$33,2,FALSE))</f>
        <v>-</v>
      </c>
      <c r="G33" s="291">
        <f>IF(Setup!$B$24="#",0,IF(NOT(F33="-"),VLOOKUP(F33,DrawPrep!$A$3:$I$34,3,FALSE),0))</f>
        <v>0</v>
      </c>
      <c r="H33" s="317" t="str">
        <f>IF(G33&gt;0,VLOOKUP(G33,DrawPrep!$C$3:$G$34,2,FALSE),"bye")</f>
        <v>bye</v>
      </c>
      <c r="I33" s="258" t="str">
        <f t="shared" si="0"/>
        <v/>
      </c>
      <c r="J33" s="299" t="str">
        <f>IF($G33&gt;0,VLOOKUP($G33,DrawPrep!$C$3:$E$34,3,FALSE),"")</f>
        <v/>
      </c>
      <c r="K33" s="214"/>
      <c r="L33" s="308" t="str">
        <f>UPPER(IF($A$2="R",IF(OR(K34=1,K34="a"),G33,IF(OR(K34=2,K34="b"),G35,"")),IF(OR(K34=1,K34="1"),I33,IF(OR(K34=2,K34="b"),I35,""))))</f>
        <v>ΣΤΑΥΡΟΠΟΥΛΟΥ</v>
      </c>
      <c r="M33" s="259"/>
      <c r="N33" s="247"/>
      <c r="O33" s="234"/>
      <c r="P33" s="191"/>
      <c r="R33" s="274"/>
    </row>
    <row r="34" spans="1:18">
      <c r="A34" s="334"/>
      <c r="B34" s="260"/>
      <c r="C34" s="261"/>
      <c r="D34" s="262"/>
      <c r="E34" s="262"/>
      <c r="F34" s="327"/>
      <c r="G34" s="292">
        <f>IF(Setup!$B$24="#",0,IF(NOT(F33="-"),VLOOKUP(F33,DrawPrep!$A$3:$I$34,7,FALSE),0))</f>
        <v>0</v>
      </c>
      <c r="H34" s="318" t="str">
        <f>IF(G34&gt;0,VLOOKUP(G34,DrawPrep!$G$3:$I$34,2,FALSE)," ")</f>
        <v xml:space="preserve"> </v>
      </c>
      <c r="I34" s="265" t="str">
        <f t="shared" si="0"/>
        <v/>
      </c>
      <c r="J34" s="300" t="str">
        <f>IF($G34&gt;0,VLOOKUP($G34,DrawPrep!$G$3:$I$34,3,FALSE),"")</f>
        <v/>
      </c>
      <c r="K34" s="241">
        <v>2</v>
      </c>
      <c r="L34" s="309" t="str">
        <f>UPPER(IF($A$2="R",IF(OR(K34=1,K34="a"),G34,IF(OR(K34=2,K34="b"),G36,"")),IF(OR(K34=1,K34="1"),I34,IF(OR(K34=2,K34="b"),I36,""))))</f>
        <v>ΚΟΝΤΟΣ</v>
      </c>
      <c r="M34" s="259"/>
      <c r="N34" s="191"/>
      <c r="O34" s="234"/>
      <c r="P34" s="191"/>
      <c r="R34" s="274"/>
    </row>
    <row r="35" spans="1:18">
      <c r="A35" s="333">
        <v>16</v>
      </c>
      <c r="B35" s="255">
        <f>VALUE(Setup!E6)</f>
        <v>7</v>
      </c>
      <c r="C35" s="256"/>
      <c r="D35" s="257">
        <f>D33+E35</f>
        <v>5</v>
      </c>
      <c r="E35" s="257">
        <v>0</v>
      </c>
      <c r="F35" s="326">
        <f>VLOOKUP($B35,Setup!$K$2:$L$33,2,FALSE)</f>
        <v>7</v>
      </c>
      <c r="G35" s="293">
        <f>IF(Setup!$B$24="#",0,IF(F35&gt;0,VLOOKUP(F35,DrawPrep!$A$3:$I$34,3,FALSE),0))</f>
        <v>1944</v>
      </c>
      <c r="H35" s="301" t="str">
        <f>IF(G35&gt;0,VLOOKUP(G35,DrawPrep!$C$3:$G$34,2,FALSE),"bye")</f>
        <v>ΣΤΑΥΡΟΠΟΥΛΟΥ ΑΓΓΕΛΙΝΑ</v>
      </c>
      <c r="I35" s="258" t="str">
        <f t="shared" si="0"/>
        <v>ΣΤΑΥΡΟΠΟΥΛΟΥ</v>
      </c>
      <c r="J35" s="301">
        <f>IF($G35&gt;0,VLOOKUP($G35,DrawPrep!$C$3:$E$34,3,FALSE),"")</f>
        <v>0</v>
      </c>
      <c r="K35" s="207"/>
      <c r="L35" s="247"/>
      <c r="N35" s="191"/>
      <c r="P35" s="191"/>
      <c r="Q35" s="207"/>
      <c r="R35" s="312" t="str">
        <f>UPPER(IF($A$2="R",IF(OR(Q36=1,Q36="a"),R19,IF(OR(Q36=2,Q36="b"),R51,"")),IF(OR(Q36=1,Q36="a"),R19,IF(OR(Q36=2,Q36="b"),R51,""))))</f>
        <v/>
      </c>
    </row>
    <row r="36" spans="1:18">
      <c r="A36" s="334"/>
      <c r="B36" s="260"/>
      <c r="C36" s="263"/>
      <c r="D36" s="264"/>
      <c r="E36" s="264"/>
      <c r="F36" s="327"/>
      <c r="G36" s="294">
        <f>IF(Setup!$B$24="#",0,IF(F35&gt;0,VLOOKUP(F35,DrawPrep!$A$3:$I$34,7,FALSE),0))</f>
        <v>1731</v>
      </c>
      <c r="H36" s="305" t="str">
        <f>IF(G36&gt;0,VLOOKUP(G36,DrawPrep!$G$3:$I$34,2,FALSE)," ")</f>
        <v>ΚΟΝΤΟΣ ΜΙΧΑΛΗΣ</v>
      </c>
      <c r="I36" s="276" t="str">
        <f t="shared" si="0"/>
        <v>ΚΟΝΤΟΣ</v>
      </c>
      <c r="J36" s="305">
        <f>IF($G36&gt;0,VLOOKUP($G36,DrawPrep!$G$3:$I$34,3,FALSE),"")</f>
        <v>0</v>
      </c>
      <c r="K36" s="207"/>
      <c r="L36" s="191"/>
      <c r="N36" s="191"/>
      <c r="P36" s="191"/>
      <c r="Q36" s="241"/>
      <c r="R36" s="313" t="str">
        <f>UPPER(IF($A$2="R",IF(OR(Q36=1,Q36="a"),R20,IF(OR(Q36=2,Q36="b"),R52,"")),IF(OR(Q36=1,Q36="a"),R20,IF(OR(Q36=2,Q36="b"),R52,""))))</f>
        <v/>
      </c>
    </row>
    <row r="37" spans="1:18">
      <c r="A37" s="331">
        <v>17</v>
      </c>
      <c r="B37" s="271">
        <f>VALUE(Setup!E7)</f>
        <v>5</v>
      </c>
      <c r="C37" s="230"/>
      <c r="D37" s="244">
        <f>D35+E37</f>
        <v>5</v>
      </c>
      <c r="E37" s="232">
        <v>0</v>
      </c>
      <c r="F37" s="329">
        <f>VLOOKUP($B37,Setup!$K$2:$L$33,2,FALSE)</f>
        <v>5</v>
      </c>
      <c r="G37" s="286">
        <f>IF(Setup!$B$24="#",0,IF(F37&gt;0,VLOOKUP(F37,DrawPrep!$A$3:$I$34,3,FALSE),0))</f>
        <v>1948</v>
      </c>
      <c r="H37" s="303" t="str">
        <f>IF(G37&gt;0,VLOOKUP(G37,DrawPrep!$C$3:$E$34,2,FALSE),"bye")</f>
        <v>ΑΝΤΩΝΟΠΟΥΛΟΥ ΚΑΤΕΡΙΝΑ</v>
      </c>
      <c r="I37" s="233" t="str">
        <f>IF(G37&gt;0,LEFT(H37,FIND(" ",H37)-1),"")</f>
        <v>ΑΝΤΩΝΟΠΟΥΛΟΥ</v>
      </c>
      <c r="J37" s="303">
        <f>IF($G37&gt;0,VLOOKUP($G37,DrawPrep!$C$3:$E$34,3,FALSE),"")</f>
        <v>0</v>
      </c>
      <c r="K37" s="214"/>
      <c r="L37" s="308" t="str">
        <f>UPPER(IF($A$2="R",IF(OR(K38=1,K38="a"),G37,IF(OR(K38=2,K38="b"),G39,"")),IF(OR(K38=1,K38="1"),I37,IF(OR(K38=2,K38="b"),I39,""))))</f>
        <v>ΑΝΤΩΝΟΠΟΥΛΟΥ</v>
      </c>
      <c r="M37" s="234"/>
      <c r="N37" s="191"/>
      <c r="P37" s="191"/>
      <c r="R37" s="277"/>
    </row>
    <row r="38" spans="1:18">
      <c r="A38" s="332"/>
      <c r="B38" s="273"/>
      <c r="C38" s="236"/>
      <c r="D38" s="238"/>
      <c r="E38" s="239"/>
      <c r="F38" s="330"/>
      <c r="G38" s="287">
        <f>IF(Setup!$B$24="#",0,IF(F37&gt;0,VLOOKUP(F37,DrawPrep!$A$3:$I$34,7,FALSE),0))</f>
        <v>1735</v>
      </c>
      <c r="H38" s="304" t="str">
        <f>IF(G38&gt;0,VLOOKUP(G38,DrawPrep!$G$3:$I$34,2,FALSE)," ")</f>
        <v xml:space="preserve">ΕΞΑΔΑΚΤΥΛΟΣ ΠΑΥΛΟΣ </v>
      </c>
      <c r="I38" s="240" t="str">
        <f>IF(G38&gt;0,LEFT(H38,FIND(" ",H38)-1),"")</f>
        <v>ΕΞΑΔΑΚΤΥΛΟΣ</v>
      </c>
      <c r="J38" s="304">
        <f>IF($G38&gt;0,VLOOKUP($G38,DrawPrep!$G$3:$I$34,3,FALSE),"")</f>
        <v>0</v>
      </c>
      <c r="K38" s="241">
        <v>1</v>
      </c>
      <c r="L38" s="308" t="str">
        <f>UPPER(IF($A$2="R",IF(OR(K38=1,K38="a"),G38,IF(OR(K38=2,K38="b"),G40,"")),IF(OR(K38=1,K38="1"),I38,IF(OR(K38=2,K38="b"),I40,""))))</f>
        <v>ΕΞΑΔΑΚΤΥΛΟΣ</v>
      </c>
      <c r="M38" s="234"/>
      <c r="N38" s="191"/>
      <c r="P38" s="191"/>
      <c r="R38" s="274"/>
    </row>
    <row r="39" spans="1:18">
      <c r="A39" s="331">
        <v>18</v>
      </c>
      <c r="B39" s="242">
        <f>13-D39+8</f>
        <v>15</v>
      </c>
      <c r="C39" s="271">
        <f>VALUE(Setup!E7)</f>
        <v>5</v>
      </c>
      <c r="D39" s="244">
        <f>D37+E39</f>
        <v>6</v>
      </c>
      <c r="E39" s="245">
        <f>IF($B$2&gt;=C39,1,0)</f>
        <v>1</v>
      </c>
      <c r="F39" s="329" t="str">
        <f>IF($B$2&gt;=C39,"-",VLOOKUP($B39,Setup!$K$2:$L$33,2,FALSE))</f>
        <v>-</v>
      </c>
      <c r="G39" s="288">
        <f>IF(Setup!$B$24="#",0,IF(NOT(F39="-"),VLOOKUP(F39,DrawPrep!$A$3:$I$34,3,FALSE),0))</f>
        <v>0</v>
      </c>
      <c r="H39" s="316" t="str">
        <f>IF(G39&gt;0,VLOOKUP(G39,DrawPrep!$C$3:$G$34,2,FALSE),"bye")</f>
        <v>bye</v>
      </c>
      <c r="I39" s="233" t="str">
        <f t="shared" ref="I39:I68" si="1">IF(G39&gt;0,LEFT(H39,FIND(" ",H39)-1),"")</f>
        <v/>
      </c>
      <c r="J39" s="297" t="str">
        <f>IF($G39&gt;0,VLOOKUP($G39,DrawPrep!$C$3:$E$34,3,FALSE),"")</f>
        <v/>
      </c>
      <c r="K39" s="207"/>
      <c r="L39" s="248"/>
      <c r="M39" s="214"/>
      <c r="N39" s="308" t="str">
        <f>UPPER(IF($A$2="R",IF(OR(M40=1,M40="a"),L37,IF(OR(M40=2,M39="b"),L41,"")),IF(OR(M40=1,M40="a"),L37,IF(OR(M40=2,M40="b"),L41,""))))</f>
        <v/>
      </c>
      <c r="O39" s="234"/>
      <c r="P39" s="191"/>
      <c r="R39" s="274"/>
    </row>
    <row r="40" spans="1:18">
      <c r="A40" s="332"/>
      <c r="B40" s="249"/>
      <c r="C40" s="275"/>
      <c r="D40" s="251"/>
      <c r="E40" s="252"/>
      <c r="F40" s="330"/>
      <c r="G40" s="289">
        <f>IF(Setup!$B$24="#",0,IF(NOT(F39="-"),VLOOKUP(F39,DrawPrep!$A$3:$I$34,7,FALSE),0))</f>
        <v>0</v>
      </c>
      <c r="H40" s="309" t="str">
        <f>IF(G40&gt;0,VLOOKUP(G40,DrawPrep!$G$3:$I$34,2,FALSE)," ")</f>
        <v xml:space="preserve"> </v>
      </c>
      <c r="I40" s="240" t="str">
        <f t="shared" si="1"/>
        <v/>
      </c>
      <c r="J40" s="298" t="str">
        <f>IF($G40&gt;0,VLOOKUP($G40,DrawPrep!$G$3:$I$34,3,FALSE),"")</f>
        <v/>
      </c>
      <c r="K40" s="207"/>
      <c r="L40" s="253"/>
      <c r="M40" s="254"/>
      <c r="N40" s="308" t="str">
        <f>UPPER(IF($A$2="R",IF(OR(M40=1,M40="a"),L38,IF(OR(M40=2,M40="b"),L42,"")),IF(OR(M40=1,M40="a"),L38,IF(OR(M40=2,M40="b"),L42,""))))</f>
        <v/>
      </c>
      <c r="O40" s="234"/>
      <c r="P40" s="191"/>
      <c r="R40" s="274"/>
    </row>
    <row r="41" spans="1:18">
      <c r="A41" s="333">
        <v>19</v>
      </c>
      <c r="B41" s="255">
        <f>14-D41+8</f>
        <v>16</v>
      </c>
      <c r="C41" s="256"/>
      <c r="D41" s="257">
        <f>D39+E41</f>
        <v>6</v>
      </c>
      <c r="E41" s="257">
        <v>0</v>
      </c>
      <c r="F41" s="326">
        <f>VLOOKUP($B41,Setup!$K$2:$L$33,2,FALSE)</f>
        <v>17</v>
      </c>
      <c r="G41" s="291">
        <f>IF(Setup!$B$24="#",0,IF(F41&gt;0,VLOOKUP(F41,DrawPrep!$A$3:$I$34,3,FALSE),0))</f>
        <v>2066</v>
      </c>
      <c r="H41" s="317" t="str">
        <f>IF(G41&gt;0,VLOOKUP(G41,DrawPrep!$C$3:$G$34,2,FALSE),"bye")</f>
        <v xml:space="preserve">ΑΘΑΝΑΣΙΑΔΟΥ ΔΗΜΗΤΡΑ </v>
      </c>
      <c r="I41" s="258" t="str">
        <f t="shared" si="1"/>
        <v>ΑΘΑΝΑΣΙΑΔΟΥ</v>
      </c>
      <c r="J41" s="299">
        <f>IF($G41&gt;0,VLOOKUP($G41,DrawPrep!$C$3:$E$34,3,FALSE),"")</f>
        <v>0</v>
      </c>
      <c r="K41" s="214"/>
      <c r="L41" s="308" t="str">
        <f>UPPER(IF($A$2="R",IF(OR(K42=1,K42="a"),G41,IF(OR(K42=2,K42="b"),G43,"")),IF(OR(K42=1,K42="1"),I41,IF(OR(K42=2,K42="b"),I43,""))))</f>
        <v>ΠΑΠΑΔΟΠΟΥΛΟΥ</v>
      </c>
      <c r="M41" s="268"/>
      <c r="N41" s="248"/>
      <c r="O41" s="234"/>
      <c r="P41" s="191"/>
      <c r="R41" s="274"/>
    </row>
    <row r="42" spans="1:18">
      <c r="A42" s="334"/>
      <c r="B42" s="260"/>
      <c r="C42" s="261"/>
      <c r="D42" s="262"/>
      <c r="E42" s="262"/>
      <c r="F42" s="327"/>
      <c r="G42" s="292">
        <f>IF(Setup!$B$24="#",0,IF(F41&gt;0,VLOOKUP(F41,DrawPrep!$A$3:$I$34,7,FALSE),0))</f>
        <v>2064</v>
      </c>
      <c r="H42" s="318" t="str">
        <f>IF(G42&gt;0,VLOOKUP(G42,DrawPrep!$G$3:$I$34,2,FALSE)," ")</f>
        <v>ΤΡΙΚΑΤΣΟΥΛΑΣ ΠΑΝΑΓΙΩΤΗΣ</v>
      </c>
      <c r="I42" s="265" t="str">
        <f t="shared" si="1"/>
        <v>ΤΡΙΚΑΤΣΟΥΛΑΣ</v>
      </c>
      <c r="J42" s="300">
        <f>IF($G42&gt;0,VLOOKUP($G42,DrawPrep!$G$3:$I$34,3,FALSE),"")</f>
        <v>0</v>
      </c>
      <c r="K42" s="241">
        <v>2</v>
      </c>
      <c r="L42" s="309" t="str">
        <f>UPPER(IF($A$2="R",IF(OR(K42=1,K42="a"),G42,IF(OR(K42=2,K42="b"),G44,"")),IF(OR(K42=1,K42="1"),I42,IF(OR(K42=2,K42="b"),I44,""))))</f>
        <v>ΒΛΑΧΟΣΠΥΡΟΣ</v>
      </c>
      <c r="M42" s="259"/>
      <c r="N42" s="253"/>
      <c r="O42" s="234"/>
      <c r="P42" s="191"/>
      <c r="R42" s="274"/>
    </row>
    <row r="43" spans="1:18">
      <c r="A43" s="333">
        <v>20</v>
      </c>
      <c r="B43" s="255">
        <f>15-D43+8</f>
        <v>17</v>
      </c>
      <c r="C43" s="256">
        <v>12</v>
      </c>
      <c r="D43" s="257">
        <f>D41+E43</f>
        <v>6</v>
      </c>
      <c r="E43" s="257">
        <f>IF($B$2&gt;=C43,1,0)</f>
        <v>0</v>
      </c>
      <c r="F43" s="326">
        <f>IF($B$2&gt;=C43,"-",VLOOKUP($B43,Setup!$K$2:$L$33,2,FALSE))</f>
        <v>21</v>
      </c>
      <c r="G43" s="291">
        <f>IF(Setup!$B$24="#",0,IF(NOT(F43="-"),VLOOKUP(F43,DrawPrep!$A$3:$I$34,3,FALSE),0))</f>
        <v>2045</v>
      </c>
      <c r="H43" s="317" t="str">
        <f>IF(G43&gt;0,VLOOKUP(G43,DrawPrep!$C$3:$G$34,2,FALSE),"bye")</f>
        <v>ΠΑΠΑΔΟΠΟΥΛΟΥ ΜΕΛΙΝΑ</v>
      </c>
      <c r="I43" s="258" t="str">
        <f t="shared" si="1"/>
        <v>ΠΑΠΑΔΟΠΟΥΛΟΥ</v>
      </c>
      <c r="J43" s="299">
        <f>IF($G43&gt;0,VLOOKUP($G43,DrawPrep!$C$3:$E$34,3,FALSE),"")</f>
        <v>0</v>
      </c>
      <c r="K43" s="207"/>
      <c r="L43" s="337" t="s">
        <v>110</v>
      </c>
      <c r="M43" s="234"/>
      <c r="N43" s="253"/>
      <c r="O43" s="214"/>
      <c r="P43" s="308" t="str">
        <f>UPPER(IF($A$2="R",IF(OR(O44=1,O44="a"),N39,IF(OR(O44=2,O44="b"),N47,"")),IF(OR(O44=1,O44="a"),N39,IF(OR(O44=2,O44="b"),N47,""))))</f>
        <v/>
      </c>
      <c r="R43" s="274"/>
    </row>
    <row r="44" spans="1:18">
      <c r="A44" s="334"/>
      <c r="B44" s="260"/>
      <c r="C44" s="261"/>
      <c r="D44" s="262"/>
      <c r="E44" s="262"/>
      <c r="F44" s="327"/>
      <c r="G44" s="292">
        <f>IF(Setup!$B$24="#",0,IF(NOT(F43="-"),VLOOKUP(F43,DrawPrep!$A$3:$I$34,7,FALSE),0))</f>
        <v>1979</v>
      </c>
      <c r="H44" s="318" t="str">
        <f>IF(G44&gt;0,VLOOKUP(G44,DrawPrep!$G$3:$I$34,2,FALSE)," ")</f>
        <v>ΒΛΑΧΟΣΠΥΡΟΣ ΝΙΚΟΣ</v>
      </c>
      <c r="I44" s="265" t="str">
        <f t="shared" si="1"/>
        <v>ΒΛΑΧΟΣΠΥΡΟΣ</v>
      </c>
      <c r="J44" s="300">
        <f>IF($G44&gt;0,VLOOKUP($G44,DrawPrep!$G$3:$I$34,3,FALSE),"")</f>
        <v>0</v>
      </c>
      <c r="K44" s="207"/>
      <c r="L44" s="216"/>
      <c r="M44" s="234"/>
      <c r="N44" s="253"/>
      <c r="O44" s="241"/>
      <c r="P44" s="308" t="str">
        <f>UPPER(IF($A$2="R",IF(OR(O44=1,O44="a"),N40,IF(OR(O44=2,O44="b"),N48,"")),IF(OR(O44=1,O44="a"),N40,IF(OR(O44=2,O44="b"),N48,""))))</f>
        <v/>
      </c>
      <c r="R44" s="274"/>
    </row>
    <row r="45" spans="1:18">
      <c r="A45" s="331">
        <v>21</v>
      </c>
      <c r="B45" s="242">
        <f>16-D45+8</f>
        <v>18</v>
      </c>
      <c r="C45" s="266"/>
      <c r="D45" s="244">
        <f>D43+E45</f>
        <v>6</v>
      </c>
      <c r="E45" s="267">
        <v>0</v>
      </c>
      <c r="F45" s="329">
        <f>VLOOKUP($B45,Setup!$K$2:$L$33,2,FALSE)</f>
        <v>11</v>
      </c>
      <c r="G45" s="288">
        <f>IF(Setup!$B$24="#",0,IF(F45&gt;0,VLOOKUP(F45,DrawPrep!$A$3:$I$34,3,FALSE),0))</f>
        <v>1953</v>
      </c>
      <c r="H45" s="316" t="str">
        <f>IF(G45&gt;0,VLOOKUP(G45,DrawPrep!$C$3:$G$34,2,FALSE),"bye")</f>
        <v>ΚΑΤΣΑΛΟΥΛΗ ΠΑΝΑΓΙΩΤΑ</v>
      </c>
      <c r="I45" s="233" t="str">
        <f t="shared" si="1"/>
        <v>ΚΑΤΣΑΛΟΥΛΗ</v>
      </c>
      <c r="J45" s="297">
        <f>IF($G45&gt;0,VLOOKUP($G45,DrawPrep!$C$3:$E$34,3,FALSE),"")</f>
        <v>0</v>
      </c>
      <c r="K45" s="214"/>
      <c r="L45" s="308" t="str">
        <f>UPPER(IF($A$2="R",IF(OR(K46=1,K46="a"),G45,IF(OR(K46=2,K46="b"),G47,"")),IF(OR(K46=1,K46="1"),I45,IF(OR(K46=2,K46="b"),I47,""))))</f>
        <v/>
      </c>
      <c r="M45" s="234"/>
      <c r="N45" s="253"/>
      <c r="O45" s="268"/>
      <c r="P45" s="248"/>
      <c r="R45" s="274"/>
    </row>
    <row r="46" spans="1:18">
      <c r="A46" s="332"/>
      <c r="B46" s="249"/>
      <c r="C46" s="269"/>
      <c r="D46" s="251"/>
      <c r="E46" s="270"/>
      <c r="F46" s="330"/>
      <c r="G46" s="289">
        <f>IF(Setup!$B$24="#",0,IF(F45&gt;0,VLOOKUP(F45,DrawPrep!$A$3:$I$34,7,FALSE),0))</f>
        <v>2014</v>
      </c>
      <c r="H46" s="309" t="str">
        <f>IF(G46&gt;0,VLOOKUP(G46,DrawPrep!$G$3:$I$34,2,FALSE)," ")</f>
        <v>ΜΠΟΖΟΣ ΘΟΔΩΡΗΣ</v>
      </c>
      <c r="I46" s="240" t="str">
        <f t="shared" si="1"/>
        <v>ΜΠΟΖΟΣ</v>
      </c>
      <c r="J46" s="298">
        <f>IF($G46&gt;0,VLOOKUP($G46,DrawPrep!$G$3:$I$34,3,FALSE),"")</f>
        <v>0</v>
      </c>
      <c r="K46" s="206"/>
      <c r="L46" s="308" t="str">
        <f>UPPER(IF($A$2="R",IF(OR(K46=1,K46="a"),G46,IF(OR(K46=2,K46="b"),G48,"")),IF(OR(K46=1,K46="1"),I46,IF(OR(K46=2,K46="b"),I48,""))))</f>
        <v/>
      </c>
      <c r="M46" s="234"/>
      <c r="N46" s="253"/>
      <c r="O46" s="234"/>
      <c r="P46" s="253"/>
      <c r="R46" s="274"/>
    </row>
    <row r="47" spans="1:18">
      <c r="A47" s="331">
        <v>22</v>
      </c>
      <c r="B47" s="242">
        <f>17-D47+8</f>
        <v>19</v>
      </c>
      <c r="C47" s="243">
        <v>14</v>
      </c>
      <c r="D47" s="244">
        <f>D45+E47</f>
        <v>6</v>
      </c>
      <c r="E47" s="245">
        <f>IF($B$2&gt;=C47,1,0)</f>
        <v>0</v>
      </c>
      <c r="F47" s="329">
        <f>IF($B$2&gt;=C47,"-",VLOOKUP($B47,Setup!$K$2:$L$33,2,FALSE))</f>
        <v>14</v>
      </c>
      <c r="G47" s="288">
        <f>IF(Setup!$B$24="#",0,IF(NOT(F47="-"),VLOOKUP(F47,DrawPrep!$A$3:$I$34,3,FALSE),0))</f>
        <v>2090</v>
      </c>
      <c r="H47" s="316" t="str">
        <f>IF(G47&gt;0,VLOOKUP(G47,DrawPrep!$C$3:$G$34,2,FALSE),"bye")</f>
        <v>ΓΕΛΑΛΗ ΑΝΑΣΤΑΣΙΑ</v>
      </c>
      <c r="I47" s="233" t="str">
        <f t="shared" si="1"/>
        <v>ΓΕΛΑΛΗ</v>
      </c>
      <c r="J47" s="297">
        <f>IF($G47&gt;0,VLOOKUP($G47,DrawPrep!$C$3:$E$34,3,FALSE),"")</f>
        <v>0</v>
      </c>
      <c r="K47" s="268"/>
      <c r="L47" s="248"/>
      <c r="M47" s="214"/>
      <c r="N47" s="310" t="str">
        <f>UPPER(IF($A$2="R",IF(OR(M48=1,M48="a"),L45,IF(OR(M48=2,M47="b"),L49,"")),IF(OR(M48=1,M48="a"),L45,IF(OR(M48=2,M48="b"),L49,""))))</f>
        <v/>
      </c>
      <c r="O47" s="234"/>
      <c r="P47" s="253"/>
      <c r="R47" s="274"/>
    </row>
    <row r="48" spans="1:18">
      <c r="A48" s="332"/>
      <c r="B48" s="249"/>
      <c r="C48" s="250"/>
      <c r="D48" s="251"/>
      <c r="E48" s="252"/>
      <c r="F48" s="330"/>
      <c r="G48" s="289">
        <f>IF(Setup!$B$24="#",0,IF(NOT(F47="-"),VLOOKUP(F47,DrawPrep!$A$3:$I$34,7,FALSE),0))</f>
        <v>1829</v>
      </c>
      <c r="H48" s="309" t="str">
        <f>IF(G48&gt;0,VLOOKUP(G48,DrawPrep!$G$3:$I$34,2,FALSE)," ")</f>
        <v>ΤΣΑΜΙΔΗΣ ΓΙΩΡΓΟΣ</v>
      </c>
      <c r="I48" s="240" t="str">
        <f t="shared" si="1"/>
        <v>ΤΣΑΜΙΔΗΣ</v>
      </c>
      <c r="J48" s="298">
        <f>IF($G48&gt;0,VLOOKUP($G48,DrawPrep!$G$3:$I$34,3,FALSE),"")</f>
        <v>0</v>
      </c>
      <c r="K48" s="207"/>
      <c r="L48" s="253"/>
      <c r="M48" s="241"/>
      <c r="N48" s="309" t="str">
        <f>UPPER(IF($A$2="R",IF(OR(M48=1,M48="a"),L46,IF(OR(M48=2,M48="b"),L50,"")),IF(OR(M48=1,M48="a"),L46,IF(OR(M48=2,M48="b"),L50,""))))</f>
        <v/>
      </c>
      <c r="O48" s="234"/>
      <c r="P48" s="253"/>
      <c r="R48" s="274"/>
    </row>
    <row r="49" spans="1:20">
      <c r="A49" s="333">
        <v>23</v>
      </c>
      <c r="B49" s="255">
        <f>18-D49+8</f>
        <v>19</v>
      </c>
      <c r="C49" s="255">
        <f>VALUE(Setup!E3)</f>
        <v>3</v>
      </c>
      <c r="D49" s="257">
        <f>D47+E49</f>
        <v>7</v>
      </c>
      <c r="E49" s="257">
        <f>IF($B$2&gt;=C49,1,0)</f>
        <v>1</v>
      </c>
      <c r="F49" s="326" t="str">
        <f>IF($B$2&gt;=C49,"-",VLOOKUP($B49,Setup!$K$2:$L$33,2,FALSE))</f>
        <v>-</v>
      </c>
      <c r="G49" s="291">
        <f>IF(Setup!$B$24="#",0,IF(NOT(F49="-"),VLOOKUP(F49,DrawPrep!$A$3:$I$34,3,FALSE),0))</f>
        <v>0</v>
      </c>
      <c r="H49" s="317" t="str">
        <f>IF(G49&gt;0,VLOOKUP(G49,DrawPrep!$C$3:$G$34,2,FALSE),"bye")</f>
        <v>bye</v>
      </c>
      <c r="I49" s="258" t="str">
        <f t="shared" si="1"/>
        <v/>
      </c>
      <c r="J49" s="299" t="str">
        <f>IF($G49&gt;0,VLOOKUP($G49,DrawPrep!$C$3:$E$34,3,FALSE),"")</f>
        <v/>
      </c>
      <c r="K49" s="214"/>
      <c r="L49" s="308" t="str">
        <f>UPPER(IF($A$2="R",IF(OR(K50=1,K50="a"),G49,IF(OR(K50=2,K50="b"),G51,"")),IF(OR(K50=1,K50="1"),I49,IF(OR(K50=2,K50="b"),I51,""))))</f>
        <v>ΣΟΥΡΛΙΓΚΑ</v>
      </c>
      <c r="M49" s="259"/>
      <c r="N49" s="247"/>
      <c r="O49" s="234"/>
      <c r="P49" s="253"/>
      <c r="R49" s="274"/>
    </row>
    <row r="50" spans="1:20">
      <c r="A50" s="334"/>
      <c r="B50" s="260"/>
      <c r="C50" s="261"/>
      <c r="D50" s="262"/>
      <c r="E50" s="262"/>
      <c r="F50" s="327"/>
      <c r="G50" s="292">
        <f>IF(Setup!$B$24="#",0,IF(NOT(F49="-"),VLOOKUP(F49,DrawPrep!$A$3:$I$34,7,FALSE),0))</f>
        <v>0</v>
      </c>
      <c r="H50" s="318" t="str">
        <f>IF(G50&gt;0,VLOOKUP(G50,DrawPrep!$G$3:$I$34,2,FALSE)," ")</f>
        <v xml:space="preserve"> </v>
      </c>
      <c r="I50" s="265" t="str">
        <f t="shared" si="1"/>
        <v/>
      </c>
      <c r="J50" s="300" t="str">
        <f>IF($G50&gt;0,VLOOKUP($G50,DrawPrep!$G$3:$I$34,3,FALSE),"")</f>
        <v/>
      </c>
      <c r="K50" s="241">
        <v>2</v>
      </c>
      <c r="L50" s="290" t="str">
        <f>UPPER(IF($A$2="R",IF(OR(K50=1,K50="a"),G50,IF(OR(K50=2,K50="b"),G52,"")),IF(OR(K50=1,K50="1"),I50,IF(OR(K50=2,K50="b"),I52,""))))</f>
        <v>ΡΟΥΜΕΛΙΩΤΗΣ</v>
      </c>
      <c r="M50" s="259"/>
      <c r="N50" s="191"/>
      <c r="O50" s="234"/>
      <c r="P50" s="253"/>
      <c r="R50" s="274"/>
    </row>
    <row r="51" spans="1:20">
      <c r="A51" s="333">
        <v>24</v>
      </c>
      <c r="B51" s="255">
        <f>VALUE(Setup!E3)</f>
        <v>3</v>
      </c>
      <c r="C51" s="256"/>
      <c r="D51" s="257">
        <f>D49+E51</f>
        <v>7</v>
      </c>
      <c r="E51" s="257">
        <v>0</v>
      </c>
      <c r="F51" s="326">
        <f>VLOOKUP($B51,Setup!$K$2:$L$33,2,FALSE)</f>
        <v>3</v>
      </c>
      <c r="G51" s="293">
        <f>IF(Setup!$B$24="#",0,IF(F51&gt;0,VLOOKUP(F51,DrawPrep!$A$3:$I$34,3,FALSE),0))</f>
        <v>2000</v>
      </c>
      <c r="H51" s="301" t="str">
        <f>IF(G51&gt;0,VLOOKUP(G51,DrawPrep!$C$3:$G$34,2,FALSE),"bye")</f>
        <v>ΣΟΥΡΛΙΓΚΑ ΝΙΚΟΛΙΑ</v>
      </c>
      <c r="I51" s="258" t="str">
        <f t="shared" si="1"/>
        <v>ΣΟΥΡΛΙΓΚΑ</v>
      </c>
      <c r="J51" s="301">
        <f>IF($G51&gt;0,VLOOKUP($G51,DrawPrep!$C$3:$E$34,3,FALSE),"")</f>
        <v>0</v>
      </c>
      <c r="K51" s="207"/>
      <c r="L51" s="191"/>
      <c r="N51" s="191"/>
      <c r="P51" s="253"/>
      <c r="Q51" s="207"/>
      <c r="R51" s="314" t="str">
        <f>UPPER(IF($A$2="R",IF(OR(Q52=1,Q52="a"),P43,IF(OR(Q52=2,Q52="b"),P59,"")),IF(OR(Q52=1,Q52="a"),P43,IF(OR(Q52=2,Q52="b"),P59,""))))</f>
        <v/>
      </c>
    </row>
    <row r="52" spans="1:20">
      <c r="A52" s="334"/>
      <c r="B52" s="260"/>
      <c r="C52" s="261"/>
      <c r="D52" s="262"/>
      <c r="E52" s="262"/>
      <c r="F52" s="327"/>
      <c r="G52" s="294">
        <f>IF(Setup!$B$24="#",0,IF(F51&gt;0,VLOOKUP(F51,DrawPrep!$A$3:$I$34,7,FALSE),0))</f>
        <v>1977</v>
      </c>
      <c r="H52" s="302" t="str">
        <f>IF(G52&gt;0,VLOOKUP(G52,DrawPrep!$G$3:$I$34,2,FALSE)," ")</f>
        <v>ΡΟΥΜΕΛΙΩΤΗΣ ΚΩΣΤΑΣ</v>
      </c>
      <c r="I52" s="265" t="str">
        <f t="shared" si="1"/>
        <v>ΡΟΥΜΕΛΙΩΤΗΣ</v>
      </c>
      <c r="J52" s="302">
        <f>IF($G52&gt;0,VLOOKUP($G52,DrawPrep!$G$3:$I$34,3,FALSE),"")</f>
        <v>0</v>
      </c>
      <c r="K52" s="207"/>
      <c r="L52" s="191"/>
      <c r="N52" s="191"/>
      <c r="P52" s="253"/>
      <c r="Q52" s="254"/>
      <c r="R52" s="315" t="str">
        <f>UPPER(IF($A$2="R",IF(OR(Q52=1,Q52="a"),P44,IF(OR(Q52=2,Q52="b"),P60,"")),IF(OR(Q52=1,Q52="a"),P44,IF(OR(Q52=2,Q52="b"),P60,""))))</f>
        <v/>
      </c>
    </row>
    <row r="53" spans="1:20">
      <c r="A53" s="331">
        <v>25</v>
      </c>
      <c r="B53" s="271">
        <f>VALUE(Setup!E8)</f>
        <v>6</v>
      </c>
      <c r="C53" s="266"/>
      <c r="D53" s="244">
        <f>D51+E53</f>
        <v>7</v>
      </c>
      <c r="E53" s="267">
        <v>0</v>
      </c>
      <c r="F53" s="329">
        <f>VLOOKUP($B53,Setup!$K$2:$L$33,2,FALSE)</f>
        <v>6</v>
      </c>
      <c r="G53" s="286">
        <f>IF(Setup!$B$24="#",0,IF(F53&gt;0,VLOOKUP(F53,DrawPrep!$A$3:$I$34,3,FALSE),0))</f>
        <v>1811</v>
      </c>
      <c r="H53" s="303" t="str">
        <f>IF(G53&gt;0,VLOOKUP(G53,DrawPrep!$C$3:$G$34,2,FALSE),"bye")</f>
        <v>ΜΑΡΛΑΓΚΟΥΤΣΟΥ ΜΑΡΙΑ</v>
      </c>
      <c r="I53" s="233" t="str">
        <f t="shared" si="1"/>
        <v>ΜΑΡΛΑΓΚΟΥΤΣΟΥ</v>
      </c>
      <c r="J53" s="303">
        <f>IF($G53&gt;0,VLOOKUP($G53,DrawPrep!$C$3:$E$34,3,FALSE),"")</f>
        <v>0</v>
      </c>
      <c r="K53" s="214"/>
      <c r="L53" s="308" t="str">
        <f>UPPER(IF($A$2="R",IF(OR(K54=1,K54="a"),G53,IF(OR(K54=2,K54="b"),G55,"")),IF(OR(K54=1,K54="1"),I53,IF(OR(K54=2,K54="b"),I55,""))))</f>
        <v>ΜΑΡΛΑΓΚΟΥΤΣΟΥ</v>
      </c>
      <c r="M53" s="234"/>
      <c r="N53" s="191"/>
      <c r="P53" s="253"/>
      <c r="R53" s="246"/>
    </row>
    <row r="54" spans="1:20">
      <c r="A54" s="332"/>
      <c r="B54" s="273"/>
      <c r="C54" s="269"/>
      <c r="D54" s="251"/>
      <c r="E54" s="270"/>
      <c r="F54" s="330"/>
      <c r="G54" s="287">
        <f>IF(Setup!$B$24="#",0,IF(F53&gt;0,VLOOKUP(F53,DrawPrep!$A$3:$I$34,7,FALSE),0))</f>
        <v>1920</v>
      </c>
      <c r="H54" s="304" t="str">
        <f>IF(G54&gt;0,VLOOKUP(G54,DrawPrep!$G$3:$I$34,2,FALSE)," ")</f>
        <v>ΠΡΙΟΒΟΛΟΣ ΧΡΗΣΤΟΣ</v>
      </c>
      <c r="I54" s="240" t="str">
        <f t="shared" si="1"/>
        <v>ΠΡΙΟΒΟΛΟΣ</v>
      </c>
      <c r="J54" s="304">
        <f>IF($G54&gt;0,VLOOKUP($G54,DrawPrep!$G$3:$I$34,3,FALSE),"")</f>
        <v>0</v>
      </c>
      <c r="K54" s="241">
        <v>1</v>
      </c>
      <c r="L54" s="308" t="str">
        <f>UPPER(IF($A$2="R",IF(OR(K54=1,K54="a"),G54,IF(OR(K54=2,K54="b"),G56,"")),IF(OR(K54=1,K54="1"),I54,IF(OR(K54=2,K54="b"),I56,""))))</f>
        <v>ΠΡΙΟΒΟΛΟΣ</v>
      </c>
      <c r="M54" s="234"/>
      <c r="N54" s="308"/>
      <c r="P54" s="253"/>
      <c r="R54" s="191"/>
    </row>
    <row r="55" spans="1:20">
      <c r="A55" s="331">
        <v>26</v>
      </c>
      <c r="B55" s="242">
        <f>19-D55+8</f>
        <v>19</v>
      </c>
      <c r="C55" s="271">
        <f>VALUE(Setup!E8)</f>
        <v>6</v>
      </c>
      <c r="D55" s="244">
        <f>D53+E55</f>
        <v>8</v>
      </c>
      <c r="E55" s="245">
        <f>IF($B$2&gt;=C55,1,0)</f>
        <v>1</v>
      </c>
      <c r="F55" s="329" t="str">
        <f>IF($B$2&gt;=C55,"-",VLOOKUP($B55,Setup!$K$2:$L$33,2,FALSE))</f>
        <v>-</v>
      </c>
      <c r="G55" s="288">
        <f>IF(Setup!$B$24="#",0,IF(NOT(F55="-"),VLOOKUP(F55,DrawPrep!$A$3:$I$34,3,FALSE),0))</f>
        <v>0</v>
      </c>
      <c r="H55" s="316" t="str">
        <f>IF(G55&gt;0,VLOOKUP(G55,DrawPrep!$C$3:$G$34,2,FALSE),"bye")</f>
        <v>bye</v>
      </c>
      <c r="I55" s="233" t="str">
        <f t="shared" si="1"/>
        <v/>
      </c>
      <c r="J55" s="297" t="str">
        <f>IF($G55&gt;0,VLOOKUP($G55,DrawPrep!$C$3:$E$34,3,FALSE),"")</f>
        <v/>
      </c>
      <c r="K55" s="207"/>
      <c r="L55" s="248"/>
      <c r="M55" s="214"/>
      <c r="N55" s="308" t="str">
        <f>UPPER(IF($A$2="R",IF(OR(M56=1,M56="a"),L53,IF(OR(M56=2,M55="b"),L57,"")),IF(OR(M56=1,M56="a"),L53,IF(OR(M56=2,M56="b"),L57,""))))</f>
        <v/>
      </c>
      <c r="O55" s="234"/>
      <c r="P55" s="253"/>
      <c r="R55" s="191"/>
    </row>
    <row r="56" spans="1:20">
      <c r="A56" s="332"/>
      <c r="B56" s="249"/>
      <c r="C56" s="275"/>
      <c r="D56" s="251"/>
      <c r="E56" s="252"/>
      <c r="F56" s="330"/>
      <c r="G56" s="289">
        <f>IF(Setup!$B$24="#",0,IF(NOT(F55="-"),VLOOKUP(F55,DrawPrep!$A$3:$I$34,7,FALSE),0))</f>
        <v>0</v>
      </c>
      <c r="H56" s="309" t="str">
        <f>IF(G56&gt;0,VLOOKUP(G56,DrawPrep!$G$3:$I$34,2,FALSE)," ")</f>
        <v xml:space="preserve"> </v>
      </c>
      <c r="I56" s="240" t="str">
        <f t="shared" si="1"/>
        <v/>
      </c>
      <c r="J56" s="298" t="str">
        <f>IF($G56&gt;0,VLOOKUP($G56,DrawPrep!$G$3:$I$34,3,FALSE),"")</f>
        <v/>
      </c>
      <c r="K56" s="207"/>
      <c r="L56" s="253"/>
      <c r="M56" s="254"/>
      <c r="N56" s="308" t="str">
        <f>UPPER(IF($A$2="R",IF(OR(M56=1,M56="a"),L54,IF(OR(M56=2,M56="b"),L58,"")),IF(OR(M56=1,M56="a"),L54,IF(OR(M56=2,M56="b"),L58,""))))</f>
        <v/>
      </c>
      <c r="O56" s="234"/>
      <c r="P56" s="253"/>
      <c r="R56" s="191"/>
    </row>
    <row r="57" spans="1:20">
      <c r="A57" s="333">
        <v>27</v>
      </c>
      <c r="B57" s="255">
        <f>20-D57+8</f>
        <v>20</v>
      </c>
      <c r="C57" s="256"/>
      <c r="D57" s="257">
        <f>D55+E57</f>
        <v>8</v>
      </c>
      <c r="E57" s="257">
        <v>0</v>
      </c>
      <c r="F57" s="326">
        <f>VLOOKUP($B57,Setup!$K$2:$L$33,2,FALSE)</f>
        <v>10</v>
      </c>
      <c r="G57" s="291">
        <f>IF(Setup!$B$24="#",0,IF(F57&gt;0,VLOOKUP(F57,DrawPrep!$A$3:$I$34,3,FALSE),0))</f>
        <v>1957</v>
      </c>
      <c r="H57" s="317" t="str">
        <f>IF(G57&gt;0,VLOOKUP(G57,DrawPrep!$C$3:$G$34,2,FALSE),"bye")</f>
        <v xml:space="preserve">ΒΑΡΒΑΡΟΥ ΜΑΡΙΑ </v>
      </c>
      <c r="I57" s="258" t="str">
        <f t="shared" si="1"/>
        <v>ΒΑΡΒΑΡΟΥ</v>
      </c>
      <c r="J57" s="299">
        <f>IF($G57&gt;0,VLOOKUP($G57,DrawPrep!$C$3:$E$34,3,FALSE),"")</f>
        <v>0</v>
      </c>
      <c r="K57" s="214"/>
      <c r="L57" s="308" t="str">
        <f>UPPER(IF($A$2="R",IF(OR(K58=1,K58="a"),G57,IF(OR(K58=2,K58="b"),G59,"")),IF(OR(K58=1,K58="1"),I57,IF(OR(K58=2,K58="b"),I59,""))))</f>
        <v/>
      </c>
      <c r="M57" s="259"/>
      <c r="N57" s="248"/>
      <c r="O57" s="234"/>
      <c r="P57" s="253"/>
      <c r="R57" s="191"/>
    </row>
    <row r="58" spans="1:20">
      <c r="A58" s="334"/>
      <c r="B58" s="260"/>
      <c r="C58" s="261"/>
      <c r="D58" s="262"/>
      <c r="E58" s="262"/>
      <c r="F58" s="327"/>
      <c r="G58" s="292">
        <f>IF(Setup!$B$24="#",0,IF(F57&gt;0,VLOOKUP(F57,DrawPrep!$A$3:$I$34,7,FALSE),0))</f>
        <v>1918</v>
      </c>
      <c r="H58" s="318" t="str">
        <f>IF(G58&gt;0,VLOOKUP(G58,DrawPrep!$G$3:$I$34,2,FALSE)," ")</f>
        <v>ΠΑΠΑΘΥΜΙΟΠΟΥΛΟΣ ΒΑΓΓΕΛΗΣ</v>
      </c>
      <c r="I58" s="265" t="str">
        <f t="shared" si="1"/>
        <v>ΠΑΠΑΘΥΜΙΟΠΟΥΛΟΣ</v>
      </c>
      <c r="J58" s="300">
        <f>IF($G58&gt;0,VLOOKUP($G58,DrawPrep!$G$3:$I$34,3,FALSE),"")</f>
        <v>0</v>
      </c>
      <c r="K58" s="241"/>
      <c r="L58" s="309" t="str">
        <f>UPPER(IF($A$2="R",IF(OR(K58=1,K58="a"),G58,IF(OR(K58=2,K58="b"),G60,"")),IF(OR(K58=1,K58="1"),I58,IF(OR(K58=2,K58="b"),I60,""))))</f>
        <v/>
      </c>
      <c r="M58" s="259"/>
      <c r="N58" s="253"/>
      <c r="O58" s="234"/>
      <c r="P58" s="253"/>
      <c r="R58" s="191"/>
      <c r="T58" s="278" t="s">
        <v>32</v>
      </c>
    </row>
    <row r="59" spans="1:20">
      <c r="A59" s="333">
        <v>28</v>
      </c>
      <c r="B59" s="255">
        <f>21-D59+8</f>
        <v>21</v>
      </c>
      <c r="C59" s="256">
        <v>10</v>
      </c>
      <c r="D59" s="257">
        <f>D57+E59</f>
        <v>8</v>
      </c>
      <c r="E59" s="257">
        <f>IF($B$2&gt;=C59,1,0)</f>
        <v>0</v>
      </c>
      <c r="F59" s="326">
        <f>IF($B$2&gt;=C59,"-",VLOOKUP($B59,Setup!$K$2:$L$33,2,FALSE))</f>
        <v>22</v>
      </c>
      <c r="G59" s="291">
        <f>IF(Setup!$B$24="#",0,IF(NOT(F59="-"),VLOOKUP(F59,DrawPrep!$A$3:$I$34,3,FALSE),0))</f>
        <v>2104</v>
      </c>
      <c r="H59" s="317" t="str">
        <f>IF(G59&gt;0,VLOOKUP(G59,DrawPrep!$C$3:$G$34,2,FALSE),"bye")</f>
        <v>ΤΣΑΜΗ ΝΑΝΤΙΑ</v>
      </c>
      <c r="I59" s="258" t="str">
        <f t="shared" si="1"/>
        <v>ΤΣΑΜΗ</v>
      </c>
      <c r="J59" s="299">
        <f>IF($G59&gt;0,VLOOKUP($G59,DrawPrep!$C$3:$E$34,3,FALSE),"")</f>
        <v>0</v>
      </c>
      <c r="K59" s="207"/>
      <c r="L59" s="308"/>
      <c r="M59" s="234"/>
      <c r="N59" s="253"/>
      <c r="O59" s="214"/>
      <c r="P59" s="310" t="str">
        <f>UPPER(IF($A$2="R",IF(OR(O60=1,O60="a"),N55,IF(OR(O60=2,O60="b"),N63,"")),IF(OR(O60=1,O60="a"),N55,IF(OR(O60=2,O60="b"),N63,""))))</f>
        <v/>
      </c>
      <c r="R59" s="191"/>
      <c r="T59" s="279" t="str">
        <f>"1. " &amp; IF(Setup!$B$19&gt;0,LEFT(DrawPrep!D3,FIND(" ",DrawPrep!D3)+1)&amp;" - "&amp;LEFT(DrawPrep!H3,FIND(" ",DrawPrep!H3)+1),"")</f>
        <v>1. ΔΕΛΗ Μ - ΚΟΥΡΟΥΝΙΩΤΗΣ Γ</v>
      </c>
    </row>
    <row r="60" spans="1:20">
      <c r="A60" s="334"/>
      <c r="B60" s="260"/>
      <c r="C60" s="261"/>
      <c r="D60" s="262"/>
      <c r="E60" s="262"/>
      <c r="F60" s="327"/>
      <c r="G60" s="292">
        <f>IF(Setup!$B$24="#",0,IF(NOT(F59="-"),VLOOKUP(F59,DrawPrep!$A$3:$I$34,7,FALSE),0))</f>
        <v>2049</v>
      </c>
      <c r="H60" s="318" t="str">
        <f>IF(G60&gt;0,VLOOKUP(G60,DrawPrep!$G$3:$I$34,2,FALSE)," ")</f>
        <v>ΡΕΝΤΑΣ ΜΑΡΙΟΣ</v>
      </c>
      <c r="I60" s="265" t="str">
        <f t="shared" si="1"/>
        <v>ΡΕΝΤΑΣ</v>
      </c>
      <c r="J60" s="300">
        <f>IF($G60&gt;0,VLOOKUP($G60,DrawPrep!$G$3:$I$34,3,FALSE),"")</f>
        <v>0</v>
      </c>
      <c r="K60" s="207"/>
      <c r="L60" s="216"/>
      <c r="M60" s="234"/>
      <c r="N60" s="253"/>
      <c r="O60" s="241"/>
      <c r="P60" s="309" t="str">
        <f>UPPER(IF($A$2="R",IF(OR(O60=1,O60="a"),N56,IF(OR(O60=2,O60="b"),N64,"")),IF(OR(O60=1,O60="a"),N56,IF(OR(O60=2,O60="b"),N64,""))))</f>
        <v/>
      </c>
      <c r="R60" s="191"/>
      <c r="T60" s="279" t="str">
        <f>"2. " &amp; IF(Setup!$B$19&gt;1,LEFT(DrawPrep!D4,FIND(" ",DrawPrep!D4)+1)&amp;" - "&amp;LEFT(DrawPrep!H4,FIND(" ",DrawPrep!H4)+1),"")</f>
        <v>2. ΚΑΛΤΕΖΙΩΤΗ Ε - ΤΖΙΝΗΣ Ν</v>
      </c>
    </row>
    <row r="61" spans="1:20">
      <c r="A61" s="331">
        <v>29</v>
      </c>
      <c r="B61" s="242">
        <f>22-D61+8</f>
        <v>22</v>
      </c>
      <c r="C61" s="266"/>
      <c r="D61" s="244">
        <f>D59+E61</f>
        <v>8</v>
      </c>
      <c r="E61" s="267">
        <v>0</v>
      </c>
      <c r="F61" s="329">
        <f>VLOOKUP($B61,Setup!$K$2:$L$33,2,FALSE)</f>
        <v>23</v>
      </c>
      <c r="G61" s="288">
        <f>IF(Setup!$B$24="#",0,IF(F61&gt;0,VLOOKUP(F61,DrawPrep!$A$3:$I$34,3,FALSE),0))</f>
        <v>2022</v>
      </c>
      <c r="H61" s="316" t="str">
        <f>IF(G61&gt;0,VLOOKUP(G61,DrawPrep!$C$3:$G$34,2,FALSE),"bye")</f>
        <v>ΨΥΧΑ ΦΩΤΕΙΝΗ</v>
      </c>
      <c r="I61" s="233" t="str">
        <f t="shared" si="1"/>
        <v>ΨΥΧΑ</v>
      </c>
      <c r="J61" s="297">
        <f>IF($G61&gt;0,VLOOKUP($G61,DrawPrep!$C$3:$E$34,3,FALSE),"")</f>
        <v>0</v>
      </c>
      <c r="K61" s="214"/>
      <c r="L61" s="308" t="str">
        <f>UPPER(IF($A$2="R",IF(OR(K62=1,K62="a"),G61,IF(OR(K62=2,K62="b"),G63,"")),IF(OR(K62=1,K62="1"),I61,IF(OR(K62=2,K62="b"),I63,""))))</f>
        <v/>
      </c>
      <c r="M61" s="234"/>
      <c r="N61" s="253"/>
      <c r="O61" s="207"/>
      <c r="P61" s="191"/>
      <c r="R61" s="191"/>
      <c r="T61" s="279" t="str">
        <f>"3. " &amp; IF(Setup!$B$19&gt;2,LEFT(DrawPrep!D5,FIND(" ",DrawPrep!D5)+1)&amp;" - "&amp;LEFT(DrawPrep!H5,FIND(" ",DrawPrep!H5)+1),"")</f>
        <v>3. ΣΟΥΡΛΙΓΚΑ Ν - ΡΟΥΜΕΛΙΩΤΗΣ Κ</v>
      </c>
    </row>
    <row r="62" spans="1:20">
      <c r="A62" s="332"/>
      <c r="B62" s="249"/>
      <c r="C62" s="269"/>
      <c r="D62" s="251"/>
      <c r="E62" s="270"/>
      <c r="F62" s="330"/>
      <c r="G62" s="289">
        <f>IF(Setup!$B$24="#",0,IF(F61&gt;0,VLOOKUP(F61,DrawPrep!$A$3:$I$34,7,FALSE),0))</f>
        <v>1888</v>
      </c>
      <c r="H62" s="309" t="str">
        <f>IF(G62&gt;0,VLOOKUP(G62,DrawPrep!$G$3:$I$34,2,FALSE)," ")</f>
        <v>ΑΝΤΩΝΑΚΟΣ ΑΓΓΕΛΟΣ</v>
      </c>
      <c r="I62" s="240" t="str">
        <f t="shared" si="1"/>
        <v>ΑΝΤΩΝΑΚΟΣ</v>
      </c>
      <c r="J62" s="298">
        <f>IF($G62&gt;0,VLOOKUP($G62,DrawPrep!$G$3:$I$34,3,FALSE),"")</f>
        <v>0</v>
      </c>
      <c r="K62" s="206"/>
      <c r="L62" s="308" t="str">
        <f>UPPER(IF($A$2="R",IF(OR(K62=1,K62="a"),G62,IF(OR(K62=2,K62="b"),G64,"")),IF(OR(K62=1,K62="1"),I62,IF(OR(K62=2,K62="b"),I64,""))))</f>
        <v/>
      </c>
      <c r="M62" s="234"/>
      <c r="N62" s="253"/>
      <c r="O62" s="234"/>
      <c r="P62" s="191"/>
      <c r="R62" s="191"/>
      <c r="T62" s="279" t="str">
        <f>"4. " &amp; IF(Setup!$B$19&gt;3,LEFT(DrawPrep!D6,FIND(" ",DrawPrep!D6)+1)&amp;" - "&amp;LEFT(DrawPrep!H6,FIND(" ",DrawPrep!H6)+1),"")</f>
        <v>4. ΣΟΓΙΑ Ε - ΠΑΝΑΓΙΩΤΟΠΟΥΛΟΣ Χ</v>
      </c>
    </row>
    <row r="63" spans="1:20">
      <c r="A63" s="331">
        <v>30</v>
      </c>
      <c r="B63" s="242">
        <f>23-D63+8</f>
        <v>23</v>
      </c>
      <c r="C63" s="243">
        <v>16</v>
      </c>
      <c r="D63" s="244">
        <f>D61+E63</f>
        <v>8</v>
      </c>
      <c r="E63" s="245">
        <f>IF($B$2&gt;=C63,1,0)</f>
        <v>0</v>
      </c>
      <c r="F63" s="329">
        <f>IF($B$2&gt;=C63,"-",VLOOKUP($B63,Setup!$K$2:$L$33,2,FALSE))</f>
        <v>13</v>
      </c>
      <c r="G63" s="288">
        <f>IF(Setup!$B$24="#",0,IF(NOT(F63="-"),VLOOKUP(F63,DrawPrep!$A$3:$I$34,3,FALSE),0))</f>
        <v>2006</v>
      </c>
      <c r="H63" s="316" t="str">
        <f>IF(G63&gt;0,VLOOKUP(G63,DrawPrep!$C$3:$G$34,2,FALSE),"bye")</f>
        <v>ΝΤΟΥΣΙΑ ΣΤΕΛΛΑ</v>
      </c>
      <c r="I63" s="233" t="str">
        <f t="shared" si="1"/>
        <v>ΝΤΟΥΣΙΑ</v>
      </c>
      <c r="J63" s="297">
        <f>IF($G63&gt;0,VLOOKUP($G63,DrawPrep!$C$3:$E$34,3,FALSE),"")</f>
        <v>0</v>
      </c>
      <c r="K63" s="268"/>
      <c r="L63" s="248"/>
      <c r="M63" s="214"/>
      <c r="N63" s="310" t="str">
        <f>UPPER(IF($A$2="R",IF(OR(M64=1,M64="a"),L61,IF(OR(M64=2,M63="b"),L65,"")),IF(OR(M64=1,M64="a"),L61,IF(OR(M64=2,M64="b"),L65,""))))</f>
        <v/>
      </c>
      <c r="O63" s="234"/>
      <c r="P63" s="191"/>
      <c r="R63" s="191"/>
      <c r="T63" s="214" t="str">
        <f>"5. " &amp; IF(Setup!$B$19&gt;4,LEFT(DrawPrep!D7,FIND(" ",DrawPrep!D7)+1)&amp;" - "&amp;LEFT(DrawPrep!H7,FIND(" ",DrawPrep!H7)+1),"")</f>
        <v>5. ΑΝΤΩΝΟΠΟΥΛΟΥ Κ - ΕΞΑΔΑΚΤΥΛΟΣ Π</v>
      </c>
    </row>
    <row r="64" spans="1:20">
      <c r="A64" s="332"/>
      <c r="B64" s="249"/>
      <c r="C64" s="250"/>
      <c r="D64" s="251"/>
      <c r="E64" s="252"/>
      <c r="F64" s="330"/>
      <c r="G64" s="289">
        <f>IF(Setup!$B$24="#",0,IF(NOT(F63="-"),VLOOKUP(F63,DrawPrep!$A$3:$I$34,7,FALSE),0))</f>
        <v>1958</v>
      </c>
      <c r="H64" s="309" t="str">
        <f>IF(G64&gt;0,VLOOKUP(G64,DrawPrep!$G$3:$I$34,2,FALSE)," ")</f>
        <v>ΤΣΕΚΕΣ ΧΡΗΣΤΟΣ</v>
      </c>
      <c r="I64" s="240" t="str">
        <f t="shared" si="1"/>
        <v>ΤΣΕΚΕΣ</v>
      </c>
      <c r="J64" s="298">
        <f>IF($G64&gt;0,VLOOKUP($G64,DrawPrep!$G$3:$I$34,3,FALSE),"")</f>
        <v>0</v>
      </c>
      <c r="K64" s="207"/>
      <c r="L64" s="253"/>
      <c r="M64" s="241"/>
      <c r="N64" s="309" t="str">
        <f>UPPER(IF($A$2="R",IF(OR(M64=1,M64="a"),L62,IF(OR(M64=2,M64="b"),L66,"")),IF(OR(M64=1,M64="a"),L62,IF(OR(M64=2,M64="b"),L66,""))))</f>
        <v/>
      </c>
      <c r="O64" s="234"/>
      <c r="P64" s="191"/>
      <c r="R64" s="191"/>
      <c r="T64" s="214" t="str">
        <f>"6. " &amp; IF(Setup!$B$19&gt;5,LEFT(DrawPrep!D8,FIND(" ",DrawPrep!D8)+1)&amp;" - "&amp;LEFT(DrawPrep!H8,FIND(" ",DrawPrep!H8)+1),"")</f>
        <v>6. ΜΑΡΛΑΓΚΟΥΤΣΟΥ Μ - ΠΡΙΟΒΟΛΟΣ Χ</v>
      </c>
    </row>
    <row r="65" spans="1:20">
      <c r="A65" s="333">
        <v>31</v>
      </c>
      <c r="B65" s="255">
        <f>24-D65+8</f>
        <v>23</v>
      </c>
      <c r="C65" s="256">
        <v>2</v>
      </c>
      <c r="D65" s="257">
        <f>D63+E65</f>
        <v>9</v>
      </c>
      <c r="E65" s="257">
        <f>IF($B$2&gt;=C65,1,0)</f>
        <v>1</v>
      </c>
      <c r="F65" s="326" t="str">
        <f>IF($B$2&gt;=C65,"-",VLOOKUP($B65,Setup!$K$2:$L$33,2,FALSE))</f>
        <v>-</v>
      </c>
      <c r="G65" s="291">
        <f>IF(Setup!$B$24="#",0,IF(NOT(F65="-"),VLOOKUP(F65,DrawPrep!$A$3:$I$34,3,FALSE),0))</f>
        <v>0</v>
      </c>
      <c r="H65" s="317" t="str">
        <f>IF(G65&gt;0,VLOOKUP(G65,DrawPrep!$C$3:$G$34,2,FALSE),"bye")</f>
        <v>bye</v>
      </c>
      <c r="I65" s="258" t="str">
        <f t="shared" si="1"/>
        <v/>
      </c>
      <c r="J65" s="299" t="str">
        <f>IF($G65&gt;0,VLOOKUP($G65,DrawPrep!$C$3:$E$34,3,FALSE),"")</f>
        <v/>
      </c>
      <c r="K65" s="214"/>
      <c r="L65" s="308" t="str">
        <f>UPPER(IF($A$2="R",IF(OR(K66=1,K66="a"),G65,IF(OR(K66=2,K66="b"),G67,"")),IF(OR(K66=1,K66="1"),I65,IF(OR(K66=2,K66="b"),I67,""))))</f>
        <v>ΚΑΛΤΕΖΙΩΤΗ</v>
      </c>
      <c r="M65" s="259"/>
      <c r="N65" s="247"/>
      <c r="O65" s="234"/>
      <c r="R65" s="280" t="s">
        <v>33</v>
      </c>
      <c r="T65" s="214" t="str">
        <f>"7. " &amp; IF(Setup!$B$19&gt;6,LEFT(DrawPrep!D9,FIND(" ",DrawPrep!D9)+1)&amp;" - "&amp;LEFT(DrawPrep!H9,FIND(" ",DrawPrep!H9)+1),"")</f>
        <v>7. ΣΤΑΥΡΟΠΟΥΛΟΥ Α - ΚΟΝΤΟΣ Μ</v>
      </c>
    </row>
    <row r="66" spans="1:20">
      <c r="A66" s="334"/>
      <c r="B66" s="260"/>
      <c r="C66" s="261"/>
      <c r="D66" s="262"/>
      <c r="E66" s="262"/>
      <c r="F66" s="327"/>
      <c r="G66" s="292">
        <f>IF(Setup!$B$24="#",0,IF(NOT(F65="-"),VLOOKUP(F65,DrawPrep!$A$3:$I$34,7,FALSE),0))</f>
        <v>0</v>
      </c>
      <c r="H66" s="318" t="str">
        <f>IF(G66&gt;0,VLOOKUP(G66,DrawPrep!$G$3:$I$34,2,FALSE)," ")</f>
        <v xml:space="preserve"> </v>
      </c>
      <c r="I66" s="265" t="str">
        <f t="shared" si="1"/>
        <v/>
      </c>
      <c r="J66" s="300" t="str">
        <f>IF($G66&gt;0,VLOOKUP($G66,DrawPrep!$G$3:$I$34,3,FALSE),"")</f>
        <v/>
      </c>
      <c r="K66" s="241">
        <v>2</v>
      </c>
      <c r="L66" s="290" t="str">
        <f>UPPER(IF($A$2="R",IF(OR(K66=1,K66="a"),G66,IF(OR(K66=2,K66="b"),G68,"")),IF(OR(K66=1,K66="1"),I66,IF(OR(K66=2,K66="b"),I68,""))))</f>
        <v>ΤΖΙΝΗΣ</v>
      </c>
      <c r="M66" s="259"/>
      <c r="N66" s="191"/>
      <c r="O66" s="234"/>
      <c r="R66" s="281">
        <f>Setup!B10</f>
        <v>0</v>
      </c>
      <c r="T66" s="214" t="str">
        <f>"8. " &amp; IF(Setup!$B$19&gt;7,LEFT(DrawPrep!D10,FIND(" ",DrawPrep!D10)+1)&amp;" - "&amp;LEFT(DrawPrep!H10,FIND(" ",DrawPrep!H10)+1),"")</f>
        <v>8. ΑΝΤΩΝΑΚΟΥ Δ - ΚΕΦΑΛΩΝΙΤΗΣ Ν</v>
      </c>
    </row>
    <row r="67" spans="1:20">
      <c r="A67" s="333">
        <v>32</v>
      </c>
      <c r="B67" s="255">
        <v>2</v>
      </c>
      <c r="C67" s="256"/>
      <c r="D67" s="257">
        <f>D65+E67</f>
        <v>9</v>
      </c>
      <c r="E67" s="257">
        <v>0</v>
      </c>
      <c r="F67" s="326">
        <f>VLOOKUP($B67,Setup!$K$2:$L$33,2,FALSE)</f>
        <v>2</v>
      </c>
      <c r="G67" s="293">
        <f>IF(Setup!$B$24="#",0,IF(F67&gt;0,VLOOKUP(F67,DrawPrep!$A$3:$I$34,3,FALSE),0))</f>
        <v>1875</v>
      </c>
      <c r="H67" s="301" t="str">
        <f>IF(G67&gt;0,VLOOKUP(G67,DrawPrep!$C$3:$G$34,2,FALSE),"bye")</f>
        <v>ΚΑΛΤΕΖΙΩΤΗ ΕΛΕΝΗ</v>
      </c>
      <c r="I67" s="258" t="str">
        <f t="shared" si="1"/>
        <v>ΚΑΛΤΕΖΙΩΤΗ</v>
      </c>
      <c r="J67" s="301">
        <f>IF($G67&gt;0,VLOOKUP($G67,DrawPrep!$C$3:$E$34,3,FALSE),"")</f>
        <v>0</v>
      </c>
      <c r="K67" s="207"/>
      <c r="L67" s="191"/>
      <c r="N67" s="191"/>
      <c r="Q67" s="207"/>
    </row>
    <row r="68" spans="1:20">
      <c r="A68" s="334"/>
      <c r="B68" s="282"/>
      <c r="C68" s="263"/>
      <c r="D68" s="264"/>
      <c r="E68" s="264"/>
      <c r="F68" s="327"/>
      <c r="G68" s="294">
        <f>IF(Setup!$B$24="#",0,IF(F67&gt;0,VLOOKUP(F67,DrawPrep!$A$3:$I$34,7,FALSE),0))</f>
        <v>1751</v>
      </c>
      <c r="H68" s="305" t="str">
        <f>IF(G68&gt;0,VLOOKUP(G68,DrawPrep!$G$3:$I$34,2,FALSE)," ")</f>
        <v>ΤΖΙΝΗΣ ΝΙΚΟΣ</v>
      </c>
      <c r="I68" s="276" t="str">
        <f t="shared" si="1"/>
        <v>ΤΖΙΝΗΣ</v>
      </c>
      <c r="J68" s="305">
        <f>IF($G68&gt;0,VLOOKUP($G68,DrawPrep!$G$3:$I$34,3,FALSE),"")</f>
        <v>0</v>
      </c>
      <c r="K68" s="207"/>
      <c r="L68" s="191"/>
      <c r="N68" s="191"/>
    </row>
    <row r="70" spans="1:20">
      <c r="I70" s="283"/>
      <c r="J70" s="283"/>
      <c r="Q70" s="285"/>
    </row>
    <row r="71" spans="1:20">
      <c r="I71" s="279"/>
      <c r="Q71" s="281"/>
    </row>
    <row r="72" spans="1:20">
      <c r="I72" s="279"/>
    </row>
    <row r="73" spans="1:20">
      <c r="I73" s="279"/>
    </row>
    <row r="74" spans="1:20">
      <c r="I74" s="279"/>
    </row>
    <row r="89" spans="8:8">
      <c r="H89" s="278" t="s">
        <v>49</v>
      </c>
    </row>
    <row r="90" spans="8:8">
      <c r="H90" s="279" t="str">
        <f>IF(Setup!$B$19&gt;0,LEFT(DrawPrep!$D$3,FIND(" ",DrawPrep!$D$3)-1))</f>
        <v>ΔΕΛΗ</v>
      </c>
    </row>
    <row r="91" spans="8:8">
      <c r="H91" s="279" t="str">
        <f>IF(Setup!$B$19&gt;0,LEFT(DrawPrep!$H$3,FIND(" ",DrawPrep!$H$3)-1),"")</f>
        <v>ΚΟΥΡΟΥΝΙΩΤΗΣ</v>
      </c>
    </row>
    <row r="92" spans="8:8">
      <c r="H92" s="279" t="str">
        <f>IF(Setup!$B$19&gt;1,LEFT(DrawPrep!$D$4,FIND(" ",DrawPrep!$D$4)-1))</f>
        <v>ΚΑΛΤΕΖΙΩΤΗ</v>
      </c>
    </row>
    <row r="93" spans="8:8">
      <c r="H93" s="279" t="str">
        <f>IF(Setup!$B$19&gt;1,LEFT(DrawPrep!$H$4,FIND(" ",DrawPrep!$H$4)-1),"")</f>
        <v>ΤΖΙΝΗΣ</v>
      </c>
    </row>
    <row r="94" spans="8:8">
      <c r="H94" s="279" t="str">
        <f>IF(Setup!$B$19&gt;2,LEFT(DrawPrep!$D$5,FIND(" ",DrawPrep!$D$5)-1))</f>
        <v>ΣΟΥΡΛΙΓΚΑ</v>
      </c>
    </row>
    <row r="95" spans="8:8">
      <c r="H95" s="279" t="str">
        <f>IF(Setup!$B$19&gt;2,LEFT(DrawPrep!$H$5,FIND(" ",DrawPrep!$H$5)-1),"")</f>
        <v>ΡΟΥΜΕΛΙΩΤΗΣ</v>
      </c>
    </row>
    <row r="96" spans="8:8">
      <c r="H96" s="279" t="str">
        <f>IF(Setup!$B$19&gt;3,LEFT(DrawPrep!$D$6,FIND(" ",DrawPrep!$D$6)-1))</f>
        <v>ΣΟΓΙΑ</v>
      </c>
    </row>
    <row r="97" spans="8:8">
      <c r="H97" s="279" t="str">
        <f>IF(Setup!$B$19&gt;3,LEFT(DrawPrep!$H$6,FIND(" ",DrawPrep!$H$6)-1),"")</f>
        <v>ΠΑΝΑΓΙΩΤΟΠΟΥΛΟΣ</v>
      </c>
    </row>
    <row r="98" spans="8:8">
      <c r="H98" s="279" t="str">
        <f>IF(Setup!$B$19&gt;4,LEFT(DrawPrep!$D$7,FIND(" ",DrawPrep!$D$7)-1))</f>
        <v>ΑΝΤΩΝΟΠΟΥΛΟΥ</v>
      </c>
    </row>
    <row r="99" spans="8:8">
      <c r="H99" s="279" t="str">
        <f>IF(Setup!$B$19&gt;4,LEFT(DrawPrep!$H$7,FIND(" ",DrawPrep!$H$7)-1),"")</f>
        <v>ΕΞΑΔΑΚΤΥΛΟΣ</v>
      </c>
    </row>
    <row r="100" spans="8:8">
      <c r="H100" s="279" t="str">
        <f>IF(Setup!$B$19&gt;5,LEFT(DrawPrep!$D$8,FIND(" ",DrawPrep!$D$8)-1))</f>
        <v>ΜΑΡΛΑΓΚΟΥΤΣΟΥ</v>
      </c>
    </row>
    <row r="101" spans="8:8">
      <c r="H101" s="279" t="str">
        <f>IF(Setup!$B$19&gt;5,LEFT(DrawPrep!$H$8,FIND(" ",DrawPrep!$H$8)-1),"")</f>
        <v>ΠΡΙΟΒΟΛΟΣ</v>
      </c>
    </row>
    <row r="102" spans="8:8">
      <c r="H102" s="279" t="str">
        <f>IF(Setup!$B$19&gt;6,LEFT(DrawPrep!$D$9,FIND(" ",DrawPrep!$D$9)-1))</f>
        <v>ΣΤΑΥΡΟΠΟΥΛΟΥ</v>
      </c>
    </row>
    <row r="103" spans="8:8">
      <c r="H103" s="279" t="str">
        <f>IF(Setup!$B$19&gt;6,LEFT(DrawPrep!$H$9,FIND(" ",DrawPrep!$H$9)-1),"")</f>
        <v>ΚΟΝΤΟΣ</v>
      </c>
    </row>
    <row r="104" spans="8:8">
      <c r="H104" s="279" t="str">
        <f>IF(Setup!$B$19&gt;7,LEFT(DrawPrep!$D$10,FIND(" ",DrawPrep!$D$10)-1))</f>
        <v>ΑΝΤΩΝΑΚΟΥ</v>
      </c>
    </row>
    <row r="105" spans="8:8">
      <c r="H105" s="279" t="str">
        <f>IF(Setup!$B$19&gt;7,LEFT(DrawPrep!$H$10,FIND(" ",DrawPrep!$H$10)-1),"")</f>
        <v>ΚΕΦΑΛΩΝΙΤΗΣ</v>
      </c>
    </row>
  </sheetData>
  <sheetProtection password="CF33" sheet="1" objects="1" scenarios="1" formatCells="0" formatColumns="0" formatRows="0"/>
  <mergeCells count="66">
    <mergeCell ref="A65:A66"/>
    <mergeCell ref="F65:F66"/>
    <mergeCell ref="A67:A68"/>
    <mergeCell ref="F67:F68"/>
    <mergeCell ref="A61:A62"/>
    <mergeCell ref="F61:F62"/>
    <mergeCell ref="A63:A64"/>
    <mergeCell ref="F63:F64"/>
    <mergeCell ref="A57:A58"/>
    <mergeCell ref="F57:F58"/>
    <mergeCell ref="A59:A60"/>
    <mergeCell ref="F59:F60"/>
    <mergeCell ref="A53:A54"/>
    <mergeCell ref="F53:F54"/>
    <mergeCell ref="A55:A56"/>
    <mergeCell ref="F55:F56"/>
    <mergeCell ref="A49:A50"/>
    <mergeCell ref="F49:F50"/>
    <mergeCell ref="A51:A52"/>
    <mergeCell ref="F51:F52"/>
    <mergeCell ref="A45:A46"/>
    <mergeCell ref="F45:F46"/>
    <mergeCell ref="A47:A48"/>
    <mergeCell ref="F47:F48"/>
    <mergeCell ref="A41:A42"/>
    <mergeCell ref="F41:F42"/>
    <mergeCell ref="A43:A44"/>
    <mergeCell ref="F43:F44"/>
    <mergeCell ref="A37:A38"/>
    <mergeCell ref="F37:F38"/>
    <mergeCell ref="A39:A40"/>
    <mergeCell ref="F39:F40"/>
    <mergeCell ref="A35:A36"/>
    <mergeCell ref="A29:A30"/>
    <mergeCell ref="A33:A34"/>
    <mergeCell ref="A19:A20"/>
    <mergeCell ref="A21:A22"/>
    <mergeCell ref="A23:A24"/>
    <mergeCell ref="A25:A26"/>
    <mergeCell ref="A31:A32"/>
    <mergeCell ref="A27:A28"/>
    <mergeCell ref="A5:A6"/>
    <mergeCell ref="A7:A8"/>
    <mergeCell ref="A9:A10"/>
    <mergeCell ref="A11:A12"/>
    <mergeCell ref="F19:F20"/>
    <mergeCell ref="F5:F6"/>
    <mergeCell ref="F7:F8"/>
    <mergeCell ref="F9:F10"/>
    <mergeCell ref="F11:F12"/>
    <mergeCell ref="F35:F36"/>
    <mergeCell ref="A1:P1"/>
    <mergeCell ref="F29:F30"/>
    <mergeCell ref="F31:F32"/>
    <mergeCell ref="F33:F34"/>
    <mergeCell ref="F23:F24"/>
    <mergeCell ref="F25:F26"/>
    <mergeCell ref="F27:F28"/>
    <mergeCell ref="F21:F22"/>
    <mergeCell ref="A13:A14"/>
    <mergeCell ref="A15:A16"/>
    <mergeCell ref="A17:A18"/>
    <mergeCell ref="H3:J3"/>
    <mergeCell ref="F13:F14"/>
    <mergeCell ref="F15:F16"/>
    <mergeCell ref="F17:F18"/>
  </mergeCells>
  <phoneticPr fontId="1" type="noConversion"/>
  <conditionalFormatting sqref="L5">
    <cfRule type="expression" dxfId="62" priority="94">
      <formula>MATCH(L5,$H$90:$H$105,0)</formula>
    </cfRule>
  </conditionalFormatting>
  <conditionalFormatting sqref="L6">
    <cfRule type="expression" dxfId="61" priority="81">
      <formula>MATCH(L6,$H$90:$H$105,0)</formula>
    </cfRule>
  </conditionalFormatting>
  <conditionalFormatting sqref="L10">
    <cfRule type="expression" dxfId="60" priority="79">
      <formula>MATCH(L10,$H$90:$H$105,0)</formula>
    </cfRule>
  </conditionalFormatting>
  <conditionalFormatting sqref="L13">
    <cfRule type="expression" dxfId="59" priority="78">
      <formula>MATCH(L13,$H$90:$H$105,0)</formula>
    </cfRule>
  </conditionalFormatting>
  <conditionalFormatting sqref="L14">
    <cfRule type="expression" dxfId="58" priority="77">
      <formula>MATCH(L14,$H$90:$H$105,0)</formula>
    </cfRule>
  </conditionalFormatting>
  <conditionalFormatting sqref="L21">
    <cfRule type="expression" dxfId="57" priority="76">
      <formula>MATCH(L21,$H$90:$H$105,0)</formula>
    </cfRule>
  </conditionalFormatting>
  <conditionalFormatting sqref="L22">
    <cfRule type="expression" dxfId="56" priority="75">
      <formula>MATCH(L22,$H$90:$H$105,0)</formula>
    </cfRule>
  </conditionalFormatting>
  <conditionalFormatting sqref="L29">
    <cfRule type="expression" dxfId="55" priority="74">
      <formula>MATCH(L29,$H$90:$H$105,0)</formula>
    </cfRule>
  </conditionalFormatting>
  <conditionalFormatting sqref="L30">
    <cfRule type="expression" dxfId="54" priority="73">
      <formula>MATCH(L30,$H$90:$H$105,0)</formula>
    </cfRule>
  </conditionalFormatting>
  <conditionalFormatting sqref="L37">
    <cfRule type="expression" dxfId="53" priority="72">
      <formula>MATCH(L37,$H$90:$H$105,0)</formula>
    </cfRule>
  </conditionalFormatting>
  <conditionalFormatting sqref="L38">
    <cfRule type="expression" dxfId="52" priority="71">
      <formula>MATCH(L38,$H$90:$H$105,0)</formula>
    </cfRule>
  </conditionalFormatting>
  <conditionalFormatting sqref="L45">
    <cfRule type="expression" dxfId="51" priority="70">
      <formula>MATCH(L45,$H$90:$H$105,0)</formula>
    </cfRule>
  </conditionalFormatting>
  <conditionalFormatting sqref="L46">
    <cfRule type="expression" dxfId="50" priority="69">
      <formula>MATCH(L46,$H$90:$H$105,0)</formula>
    </cfRule>
  </conditionalFormatting>
  <conditionalFormatting sqref="L53">
    <cfRule type="expression" dxfId="49" priority="68">
      <formula>MATCH(L53,$H$90:$H$105,0)</formula>
    </cfRule>
  </conditionalFormatting>
  <conditionalFormatting sqref="L54">
    <cfRule type="expression" dxfId="48" priority="67">
      <formula>MATCH(L54,$H$90:$H$105,0)</formula>
    </cfRule>
  </conditionalFormatting>
  <conditionalFormatting sqref="L61">
    <cfRule type="expression" dxfId="47" priority="66">
      <formula>MATCH(L61,$H$90:$H$105,0)</formula>
    </cfRule>
  </conditionalFormatting>
  <conditionalFormatting sqref="L62">
    <cfRule type="expression" dxfId="46" priority="65">
      <formula>MATCH(L62,$H$90:$H$105,0)</formula>
    </cfRule>
  </conditionalFormatting>
  <conditionalFormatting sqref="L17">
    <cfRule type="expression" dxfId="45" priority="64">
      <formula>MATCH(L17,$H$90:$H$105,0)</formula>
    </cfRule>
  </conditionalFormatting>
  <conditionalFormatting sqref="L18">
    <cfRule type="expression" dxfId="44" priority="62">
      <formula>MATCH(L18,$H$90:$H$105,0)</formula>
    </cfRule>
  </conditionalFormatting>
  <conditionalFormatting sqref="L26">
    <cfRule type="expression" dxfId="43" priority="61">
      <formula>MATCH(L26,$H$90:$H$105,0)</formula>
    </cfRule>
  </conditionalFormatting>
  <conditionalFormatting sqref="L34">
    <cfRule type="expression" dxfId="42" priority="60">
      <formula>MATCH(L34,$H$90:$H$105,0)</formula>
    </cfRule>
  </conditionalFormatting>
  <conditionalFormatting sqref="L42">
    <cfRule type="expression" dxfId="41" priority="59">
      <formula>MATCH(L42,$H$90:$H$105,0)</formula>
    </cfRule>
  </conditionalFormatting>
  <conditionalFormatting sqref="L50">
    <cfRule type="expression" dxfId="40" priority="58">
      <formula>MATCH(L50,$H$90:$H$105,0)</formula>
    </cfRule>
  </conditionalFormatting>
  <conditionalFormatting sqref="L58">
    <cfRule type="expression" dxfId="39" priority="57">
      <formula>MATCH(L58,$H$90:$H$105,0)</formula>
    </cfRule>
  </conditionalFormatting>
  <conditionalFormatting sqref="L66">
    <cfRule type="expression" dxfId="38" priority="56">
      <formula>MATCH(L66,$H$90:$H$105,0)</formula>
    </cfRule>
  </conditionalFormatting>
  <conditionalFormatting sqref="N7">
    <cfRule type="expression" dxfId="37" priority="39">
      <formula>MATCH(N7,$H$90:$H$105,0)</formula>
    </cfRule>
  </conditionalFormatting>
  <conditionalFormatting sqref="N8">
    <cfRule type="expression" dxfId="36" priority="38">
      <formula>MATCH(N8,$H$90:$H$105,0)</formula>
    </cfRule>
  </conditionalFormatting>
  <conditionalFormatting sqref="N15">
    <cfRule type="expression" dxfId="35" priority="37">
      <formula>MATCH(N15,$H$90:$H$105,0)</formula>
    </cfRule>
  </conditionalFormatting>
  <conditionalFormatting sqref="N16">
    <cfRule type="expression" dxfId="34" priority="36">
      <formula>MATCH(N16,$H$90:$H$105,0)</formula>
    </cfRule>
  </conditionalFormatting>
  <conditionalFormatting sqref="N23">
    <cfRule type="expression" dxfId="33" priority="35">
      <formula>MATCH(N23,$H$90:$H$105,0)</formula>
    </cfRule>
  </conditionalFormatting>
  <conditionalFormatting sqref="N24">
    <cfRule type="expression" dxfId="32" priority="34">
      <formula>MATCH(N24,$H$90:$H$105,0)</formula>
    </cfRule>
  </conditionalFormatting>
  <conditionalFormatting sqref="N31">
    <cfRule type="expression" dxfId="31" priority="33">
      <formula>MATCH(N31,$H$90:$H$105,0)</formula>
    </cfRule>
  </conditionalFormatting>
  <conditionalFormatting sqref="N32">
    <cfRule type="expression" dxfId="30" priority="32">
      <formula>MATCH(N32,$H$90:$H$105,0)</formula>
    </cfRule>
  </conditionalFormatting>
  <conditionalFormatting sqref="N39">
    <cfRule type="expression" dxfId="29" priority="31">
      <formula>MATCH(N39,$H$90:$H$105,0)</formula>
    </cfRule>
  </conditionalFormatting>
  <conditionalFormatting sqref="N40">
    <cfRule type="expression" dxfId="28" priority="30">
      <formula>MATCH(N40,$H$90:$H$105,0)</formula>
    </cfRule>
  </conditionalFormatting>
  <conditionalFormatting sqref="N47">
    <cfRule type="expression" dxfId="27" priority="29">
      <formula>MATCH(N47,$H$90:$H$105,0)</formula>
    </cfRule>
  </conditionalFormatting>
  <conditionalFormatting sqref="N48">
    <cfRule type="expression" dxfId="26" priority="28">
      <formula>MATCH(N48,$H$90:$H$105,0)</formula>
    </cfRule>
  </conditionalFormatting>
  <conditionalFormatting sqref="N55">
    <cfRule type="expression" dxfId="25" priority="27">
      <formula>MATCH(N55,$H$90:$H$105,0)</formula>
    </cfRule>
  </conditionalFormatting>
  <conditionalFormatting sqref="N56">
    <cfRule type="expression" dxfId="24" priority="26">
      <formula>MATCH(N56,$H$90:$H$105,0)</formula>
    </cfRule>
  </conditionalFormatting>
  <conditionalFormatting sqref="N63">
    <cfRule type="expression" dxfId="23" priority="25">
      <formula>MATCH(N63,$H$90:$H$105,0)</formula>
    </cfRule>
  </conditionalFormatting>
  <conditionalFormatting sqref="N64">
    <cfRule type="expression" dxfId="22" priority="24">
      <formula>MATCH(N64,$H$90:$H$105,0)</formula>
    </cfRule>
  </conditionalFormatting>
  <conditionalFormatting sqref="P59">
    <cfRule type="expression" dxfId="21" priority="23">
      <formula>MATCH(P59,$H$90:$H$105,0)</formula>
    </cfRule>
  </conditionalFormatting>
  <conditionalFormatting sqref="P60">
    <cfRule type="expression" dxfId="20" priority="22">
      <formula>MATCH(P60,$H$90:$H$105,0)</formula>
    </cfRule>
  </conditionalFormatting>
  <conditionalFormatting sqref="P43">
    <cfRule type="expression" dxfId="19" priority="21">
      <formula>MATCH(P43,$H$90:$H$105,0)</formula>
    </cfRule>
  </conditionalFormatting>
  <conditionalFormatting sqref="P44">
    <cfRule type="expression" dxfId="18" priority="20">
      <formula>MATCH(P44,$H$90:$H$105,0)</formula>
    </cfRule>
  </conditionalFormatting>
  <conditionalFormatting sqref="P10">
    <cfRule type="expression" dxfId="17" priority="19">
      <formula>MATCH(P10,$H$90:$H$105,0)</formula>
    </cfRule>
  </conditionalFormatting>
  <conditionalFormatting sqref="P12">
    <cfRule type="expression" dxfId="16" priority="18">
      <formula>MATCH(P12,$H$90:$H$105,0)</formula>
    </cfRule>
  </conditionalFormatting>
  <conditionalFormatting sqref="P27">
    <cfRule type="expression" dxfId="15" priority="17">
      <formula>MATCH(P27,$H$90:$H$105,0)</formula>
    </cfRule>
  </conditionalFormatting>
  <conditionalFormatting sqref="P28">
    <cfRule type="expression" dxfId="14" priority="15">
      <formula>MATCH(P28,$H$90:$H$105,0)</formula>
    </cfRule>
  </conditionalFormatting>
  <conditionalFormatting sqref="P11">
    <cfRule type="expression" dxfId="13" priority="14">
      <formula>MATCH(P11,$H$90:$H$105,0)</formula>
    </cfRule>
  </conditionalFormatting>
  <conditionalFormatting sqref="R19">
    <cfRule type="expression" dxfId="12" priority="13">
      <formula>MATCH(R19,$H$90:$H$105,0)</formula>
    </cfRule>
  </conditionalFormatting>
  <conditionalFormatting sqref="R20">
    <cfRule type="expression" dxfId="11" priority="12">
      <formula>MATCH(R20,$H$90:$H$105,0)</formula>
    </cfRule>
  </conditionalFormatting>
  <conditionalFormatting sqref="R35">
    <cfRule type="expression" dxfId="10" priority="11">
      <formula>MATCH(R35,$H$90:$H$105,0)</formula>
    </cfRule>
  </conditionalFormatting>
  <conditionalFormatting sqref="R36">
    <cfRule type="expression" dxfId="9" priority="10">
      <formula>MATCH(R36,$H$90:$H$105,0)</formula>
    </cfRule>
  </conditionalFormatting>
  <conditionalFormatting sqref="R51">
    <cfRule type="expression" dxfId="8" priority="9">
      <formula>MATCH(R51,$H$90:$H$105,0)</formula>
    </cfRule>
  </conditionalFormatting>
  <conditionalFormatting sqref="R52">
    <cfRule type="expression" dxfId="7" priority="8">
      <formula>MATCH(R52,$H$90:$H$105,0)</formula>
    </cfRule>
  </conditionalFormatting>
  <conditionalFormatting sqref="L9">
    <cfRule type="expression" dxfId="6" priority="7">
      <formula>MATCH(L9,$H$90:$H$105,0)</formula>
    </cfRule>
  </conditionalFormatting>
  <conditionalFormatting sqref="L65">
    <cfRule type="expression" dxfId="5" priority="6">
      <formula>MATCH(L65,$H$90:$H$105,0)</formula>
    </cfRule>
  </conditionalFormatting>
  <conditionalFormatting sqref="L57">
    <cfRule type="expression" dxfId="4" priority="5">
      <formula>MATCH(L57,$H$90:$H$105,0)</formula>
    </cfRule>
  </conditionalFormatting>
  <conditionalFormatting sqref="L49">
    <cfRule type="expression" dxfId="3" priority="4">
      <formula>MATCH(L49,$H$90:$H$105,0)</formula>
    </cfRule>
  </conditionalFormatting>
  <conditionalFormatting sqref="L41">
    <cfRule type="expression" dxfId="2" priority="3">
      <formula>MATCH(L41,$H$90:$H$105,0)</formula>
    </cfRule>
  </conditionalFormatting>
  <conditionalFormatting sqref="L33">
    <cfRule type="expression" dxfId="1" priority="2">
      <formula>MATCH(L33,$H$90:$H$105,0)</formula>
    </cfRule>
  </conditionalFormatting>
  <conditionalFormatting sqref="L25">
    <cfRule type="expression" dxfId="0" priority="1">
      <formula>MATCH(L25,$H$90:$H$105,0)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71" orientation="landscape" r:id="rId1"/>
  <headerFooter alignWithMargins="0">
    <oddFooter>&amp;R&amp;D&amp;T</oddFooter>
  </headerFooter>
  <ignoredErrors>
    <ignoredError sqref="F7 F27 F39 F59 F55 F43 F23 F11 H7:H8 H14:H16 H9:H11 H12:H13 H17:H20 H21:H22 H23:H28 H30:H32 H29 H33:H34 H48:H50 H51:H54 H60:H62 H63:H66 H67 H56:H58 H59 H55 H35 H37 H39:H44 H45:H46 H47 F29 F41 F45 F25 F57 F61 F9 F13 J6 J8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"/>
  <dimension ref="A1:P36"/>
  <sheetViews>
    <sheetView workbookViewId="0">
      <selection sqref="A1:E1"/>
    </sheetView>
  </sheetViews>
  <sheetFormatPr defaultColWidth="8.85546875" defaultRowHeight="12"/>
  <cols>
    <col min="1" max="1" width="7.28515625" style="29" bestFit="1" customWidth="1"/>
    <col min="2" max="2" width="7.5703125" style="32" customWidth="1"/>
    <col min="3" max="3" width="38.7109375" style="24" customWidth="1"/>
    <col min="4" max="4" width="1.28515625" style="32" bestFit="1" customWidth="1"/>
    <col min="5" max="5" width="41.7109375" style="24" customWidth="1"/>
    <col min="6" max="16384" width="8.85546875" style="24"/>
  </cols>
  <sheetData>
    <row r="1" spans="1:16" s="21" customFormat="1" ht="18">
      <c r="A1" s="336" t="str">
        <f>Setup!$B$3 &amp; ", " &amp; Setup!$B$4 &amp; ", " &amp; Setup!$B$6 &amp; ", " &amp; Setup!$B$8 &amp; "-" &amp; Setup!$B$9</f>
        <v>Athlisis Tennis Club, 15th Open A.C. by F.Bozionelos S.A., , -</v>
      </c>
      <c r="B1" s="336"/>
      <c r="C1" s="336"/>
      <c r="D1" s="336"/>
      <c r="E1" s="336"/>
      <c r="F1" s="22" t="s">
        <v>26</v>
      </c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6" ht="13.15" customHeight="1">
      <c r="A2" s="2" t="str">
        <f>CONCATENATE(Setup!B10,", ",Setup!B11)</f>
        <v xml:space="preserve">, </v>
      </c>
      <c r="B2" s="23"/>
      <c r="C2" s="23"/>
      <c r="D2" s="23"/>
      <c r="E2" s="23"/>
    </row>
    <row r="3" spans="1:16" s="21" customFormat="1" ht="18">
      <c r="A3" s="25" t="s">
        <v>24</v>
      </c>
      <c r="B3" s="26"/>
      <c r="C3" s="26"/>
      <c r="D3" s="27"/>
      <c r="E3" s="28" t="s">
        <v>34</v>
      </c>
    </row>
    <row r="4" spans="1:16">
      <c r="A4" s="4" t="s">
        <v>12</v>
      </c>
      <c r="B4" s="4" t="s">
        <v>46</v>
      </c>
      <c r="C4" s="30" t="s">
        <v>35</v>
      </c>
      <c r="D4" s="31"/>
      <c r="E4" s="36" t="s">
        <v>36</v>
      </c>
    </row>
    <row r="5" spans="1:16">
      <c r="A5" s="3" t="s">
        <v>13</v>
      </c>
      <c r="B5" s="5" t="str">
        <f>Setup!$B$7</f>
        <v>Mixted Doubles</v>
      </c>
      <c r="C5" s="19" t="str">
        <f>IF(Draw!H5="bye","", LEFT(Draw!H5,FIND(" ",Draw!H5)+1) &amp; " - " &amp; LEFT(Draw!H6,FIND(" ",Draw!H6)+1))</f>
        <v>ΔΕΛΗ Μ - ΚΟΥΡΟΥΝΙΩΤΗΣ Γ</v>
      </c>
      <c r="D5" s="18" t="str">
        <f t="shared" ref="D5:D20" si="0">IF(OR(C5="",E5="")," ","-")</f>
        <v xml:space="preserve"> </v>
      </c>
      <c r="E5" s="19" t="str">
        <f>IF(Draw!H7="bye","", LEFT(Draw!H7,FIND(" ",Draw!H7)+1) &amp; " - " &amp; LEFT(Draw!H8,FIND(" ",Draw!H8)+1))</f>
        <v/>
      </c>
    </row>
    <row r="6" spans="1:16">
      <c r="A6" s="3"/>
      <c r="B6" s="5" t="str">
        <f>Setup!$B$7</f>
        <v>Mixted Doubles</v>
      </c>
      <c r="C6" s="19" t="str">
        <f>IF(Draw!H9="bye","", LEFT(Draw!H9,FIND(" ",Draw!H9)+1) &amp; " - " &amp; LEFT(Draw!H10,FIND(" ",Draw!H10)+1))</f>
        <v>ΠΟΜΑΚΗ Α - ΚΑΛΛΙΑΝΟΣ Γ</v>
      </c>
      <c r="D6" s="18" t="str">
        <f t="shared" si="0"/>
        <v>-</v>
      </c>
      <c r="E6" s="19" t="str">
        <f>IF(Draw!H11="bye","", LEFT(Draw!H11,FIND(" ",Draw!H11)+1) &amp; " - " &amp; LEFT(Draw!H12,FIND(" ",Draw!H12)+1))</f>
        <v>ΣΤΡΑΤΟΥ Ε - ΚΟΝΤΟΣ Τ</v>
      </c>
    </row>
    <row r="7" spans="1:16">
      <c r="A7" s="3"/>
      <c r="B7" s="5" t="str">
        <f>Setup!$B$7</f>
        <v>Mixted Doubles</v>
      </c>
      <c r="C7" s="19" t="str">
        <f>IF(Draw!H13="bye","", LEFT(Draw!H13,FIND(" ",Draw!H13)+1) &amp; " - " &amp; LEFT(Draw!H14,FIND(" ",Draw!H14)+1))</f>
        <v>ΜΠΑΛΤΑ Χ - ΠΑΠΠΑΣ Σ</v>
      </c>
      <c r="D7" s="18" t="str">
        <f t="shared" si="0"/>
        <v xml:space="preserve"> </v>
      </c>
      <c r="E7" s="19" t="str">
        <f>IF(Draw!H15="bye","", LEFT(Draw!H15,FIND(" ",Draw!H15)+1) &amp; " - " &amp; LEFT(Draw!H16,FIND(" ",Draw!H16)+1))</f>
        <v/>
      </c>
    </row>
    <row r="8" spans="1:16">
      <c r="B8" s="5" t="str">
        <f>Setup!$B$7</f>
        <v>Mixted Doubles</v>
      </c>
      <c r="C8" s="19" t="str">
        <f>IF(Draw!H17="bye","", LEFT(Draw!H17,FIND(" ",Draw!H17)+1) &amp; " - " &amp; LEFT(Draw!H18,FIND(" ",Draw!H18)+1))</f>
        <v/>
      </c>
      <c r="D8" s="18" t="str">
        <f t="shared" si="0"/>
        <v xml:space="preserve"> </v>
      </c>
      <c r="E8" s="19" t="str">
        <f>IF(Draw!H19="bye","", LEFT(Draw!H19,FIND(" ",Draw!H19)+1) &amp; " - " &amp; LEFT(Draw!H20,FIND(" ",Draw!H20)+1))</f>
        <v>ΑΝΤΩΝΑΚΟΥ Δ - ΚΕΦΑΛΩΝΙΤΗΣ Ν</v>
      </c>
    </row>
    <row r="9" spans="1:16">
      <c r="B9" s="5" t="str">
        <f>Setup!$B$7</f>
        <v>Mixted Doubles</v>
      </c>
      <c r="C9" s="19" t="str">
        <f>IF(Draw!H21="bye","", LEFT(Draw!H21,FIND(" ",Draw!H21)+1) &amp; " - " &amp; LEFT(Draw!H22,FIND(" ",Draw!H22)+1))</f>
        <v>ΣΟΓΙΑ Ε - ΠΑΝΑΓΙΩΤΟΠΟΥΛΟΣ Χ</v>
      </c>
      <c r="D9" s="18" t="str">
        <f t="shared" si="0"/>
        <v xml:space="preserve"> </v>
      </c>
      <c r="E9" s="19" t="str">
        <f>IF(Draw!H23="bye","", LEFT(Draw!H23,FIND(" ",Draw!H23)+1) &amp; " - " &amp; LEFT(Draw!H24,FIND(" ",Draw!H24)+1))</f>
        <v/>
      </c>
    </row>
    <row r="10" spans="1:16">
      <c r="B10" s="5" t="str">
        <f>Setup!$B$7</f>
        <v>Mixted Doubles</v>
      </c>
      <c r="C10" s="19" t="str">
        <f>IF(Draw!H25="bye","", LEFT(Draw!H25,FIND(" ",Draw!H25)+1) &amp; " - " &amp; LEFT(Draw!H26,FIND(" ",Draw!H26)+1))</f>
        <v>ΜΙΝΤΡΟΥ Χ - ΗΛΙΟΠΟΥΛΟΣ Π</v>
      </c>
      <c r="D10" s="18" t="str">
        <f t="shared" si="0"/>
        <v>-</v>
      </c>
      <c r="E10" s="19" t="str">
        <f>IF(Draw!H27="bye","", LEFT(Draw!H27,FIND(" ",Draw!H27)+1) &amp; " - " &amp; LEFT(Draw!H28,FIND(" ",Draw!H28)+1))</f>
        <v>ΣΤΕΦΑΝΟΥ Μ - ΣΠΑΝΟΣ Χ</v>
      </c>
    </row>
    <row r="11" spans="1:16">
      <c r="B11" s="5" t="str">
        <f>Setup!$B$7</f>
        <v>Mixted Doubles</v>
      </c>
      <c r="C11" s="19" t="str">
        <f>IF(Draw!H29="bye","", LEFT(Draw!H29,FIND(" ",Draw!H29)+1) &amp; " - " &amp; LEFT(Draw!H30,FIND(" ",Draw!H30)+1))</f>
        <v>DE G - ΔΙΑΜΑΝΤΗΣ Σ</v>
      </c>
      <c r="D11" s="18" t="str">
        <f t="shared" si="0"/>
        <v>-</v>
      </c>
      <c r="E11" s="19" t="str">
        <f>IF(Draw!H31="bye","", LEFT(Draw!H31,FIND(" ",Draw!H31)+1) &amp; " - " &amp; LEFT(Draw!H32,FIND(" ",Draw!H32)+1))</f>
        <v>ΜΙΧΑΛΟΠΟΥΛΟΥ Τ - ΜΠΟΥΡΗΣ Φ</v>
      </c>
    </row>
    <row r="12" spans="1:16">
      <c r="A12" s="3" t="s">
        <v>14</v>
      </c>
      <c r="B12" s="5" t="str">
        <f>Setup!$B$7</f>
        <v>Mixted Doubles</v>
      </c>
      <c r="C12" s="19" t="str">
        <f>IF(Draw!H33="bye","", LEFT(Draw!H33,FIND(" ",Draw!H33)+1) &amp; " - " &amp; LEFT(Draw!H34,FIND(" ",Draw!H34)+1))</f>
        <v/>
      </c>
      <c r="D12" s="18" t="str">
        <f t="shared" si="0"/>
        <v xml:space="preserve"> </v>
      </c>
      <c r="E12" s="19" t="str">
        <f>IF(Draw!H35="bye","", LEFT(Draw!H35,FIND(" ",Draw!H35)+1) &amp; " - " &amp; LEFT(Draw!H36,FIND(" ",Draw!H36)+1))</f>
        <v>ΣΤΑΥΡΟΠΟΥΛΟΥ Α - ΚΟΝΤΟΣ Μ</v>
      </c>
    </row>
    <row r="13" spans="1:16">
      <c r="B13" s="5" t="str">
        <f>Setup!$B$7</f>
        <v>Mixted Doubles</v>
      </c>
      <c r="C13" s="19" t="str">
        <f>IF(Draw!H37="bye","", LEFT(Draw!H37,FIND(" ",Draw!H37)+1) &amp; " - " &amp; LEFT(Draw!H38,FIND(" ",Draw!H38)+1))</f>
        <v>ΑΝΤΩΝΟΠΟΥΛΟΥ Κ - ΕΞΑΔΑΚΤΥΛΟΣ Π</v>
      </c>
      <c r="D13" s="18" t="str">
        <f t="shared" si="0"/>
        <v xml:space="preserve"> </v>
      </c>
      <c r="E13" s="19" t="str">
        <f>IF(Draw!H39="bye","", LEFT(Draw!H39,FIND(" ",Draw!H39)+1) &amp; " - " &amp; LEFT(Draw!H40,FIND(" ",Draw!H40)+1))</f>
        <v/>
      </c>
    </row>
    <row r="14" spans="1:16">
      <c r="B14" s="5" t="str">
        <f>Setup!$B$7</f>
        <v>Mixted Doubles</v>
      </c>
      <c r="C14" s="19" t="str">
        <f>IF(Draw!H41="bye","", LEFT(Draw!H41,FIND(" ",Draw!H41)+1) &amp; " - " &amp; LEFT(Draw!H42,FIND(" ",Draw!H42)+1))</f>
        <v>ΑΘΑΝΑΣΙΑΔΟΥ Δ - ΤΡΙΚΑΤΣΟΥΛΑΣ Π</v>
      </c>
      <c r="D14" s="18" t="str">
        <f t="shared" si="0"/>
        <v>-</v>
      </c>
      <c r="E14" s="19" t="str">
        <f>IF(Draw!H43="bye","", LEFT(Draw!H43,FIND(" ",Draw!H43)+1) &amp; " - " &amp; LEFT(Draw!H44,FIND(" ",Draw!H44)+1))</f>
        <v>ΠΑΠΑΔΟΠΟΥΛΟΥ Μ - ΒΛΑΧΟΣΠΥΡΟΣ Ν</v>
      </c>
    </row>
    <row r="15" spans="1:16">
      <c r="B15" s="5" t="str">
        <f>Setup!$B$7</f>
        <v>Mixted Doubles</v>
      </c>
      <c r="C15" s="19" t="str">
        <f>IF(Draw!H45="bye","", LEFT(Draw!H45,FIND(" ",Draw!H45)+1) &amp; " - " &amp; LEFT(Draw!H46,FIND(" ",Draw!H46)+1))</f>
        <v>ΚΑΤΣΑΛΟΥΛΗ Π - ΜΠΟΖΟΣ Θ</v>
      </c>
      <c r="D15" s="18" t="str">
        <f t="shared" si="0"/>
        <v>-</v>
      </c>
      <c r="E15" s="19" t="str">
        <f>IF(Draw!H47="bye","", LEFT(Draw!H47,FIND(" ",Draw!H47)+1) &amp; " - " &amp; LEFT(Draw!H48,FIND(" ",Draw!H48)+1))</f>
        <v>ΓΕΛΑΛΗ Α - ΤΣΑΜΙΔΗΣ Γ</v>
      </c>
    </row>
    <row r="16" spans="1:16">
      <c r="B16" s="5" t="str">
        <f>Setup!$B$7</f>
        <v>Mixted Doubles</v>
      </c>
      <c r="C16" s="19" t="str">
        <f>IF(Draw!H49="bye","", LEFT(Draw!H49,FIND(" ",Draw!H49)+1) &amp; " - " &amp; LEFT(Draw!H50,FIND(" ",Draw!H50)+1))</f>
        <v/>
      </c>
      <c r="D16" s="18" t="str">
        <f t="shared" si="0"/>
        <v xml:space="preserve"> </v>
      </c>
      <c r="E16" s="19" t="str">
        <f>IF(Draw!H51="bye","", LEFT(Draw!H51,FIND(" ",Draw!H51)+1) &amp; " - " &amp; LEFT(Draw!H52,FIND(" ",Draw!H52)+1))</f>
        <v>ΣΟΥΡΛΙΓΚΑ Ν - ΡΟΥΜΕΛΙΩΤΗΣ Κ</v>
      </c>
    </row>
    <row r="17" spans="1:8">
      <c r="B17" s="5" t="str">
        <f>Setup!$B$7</f>
        <v>Mixted Doubles</v>
      </c>
      <c r="C17" s="19" t="str">
        <f>IF(Draw!H53="bye","", LEFT(Draw!H53,FIND(" ",Draw!H53)+1) &amp; " - " &amp; LEFT(Draw!H54,FIND(" ",Draw!H54)+1))</f>
        <v>ΜΑΡΛΑΓΚΟΥΤΣΟΥ Μ - ΠΡΙΟΒΟΛΟΣ Χ</v>
      </c>
      <c r="D17" s="18" t="str">
        <f t="shared" si="0"/>
        <v xml:space="preserve"> </v>
      </c>
      <c r="E17" s="19" t="str">
        <f>IF(Draw!H55="bye","", LEFT(Draw!H55,FIND(" ",Draw!H55)+1) &amp; " - " &amp; LEFT(Draw!H56,FIND(" ",Draw!H56)+1))</f>
        <v/>
      </c>
    </row>
    <row r="18" spans="1:8">
      <c r="B18" s="5" t="str">
        <f>Setup!$B$7</f>
        <v>Mixted Doubles</v>
      </c>
      <c r="C18" s="19" t="str">
        <f>IF(Draw!H57="bye","", LEFT(Draw!H57,FIND(" ",Draw!H57)+1) &amp; " - " &amp; LEFT(Draw!H58,FIND(" ",Draw!H58)+1))</f>
        <v>ΒΑΡΒΑΡΟΥ Μ - ΠΑΠΑΘΥΜΙΟΠΟΥΛΟΣ Β</v>
      </c>
      <c r="D18" s="18" t="str">
        <f t="shared" si="0"/>
        <v>-</v>
      </c>
      <c r="E18" s="19" t="str">
        <f>IF(Draw!H59="bye","", LEFT(Draw!H59,FIND(" ",Draw!H59)+1) &amp; " - " &amp; LEFT(Draw!H60,FIND(" ",Draw!H60)+1))</f>
        <v>ΤΣΑΜΗ Ν - ΡΕΝΤΑΣ Μ</v>
      </c>
    </row>
    <row r="19" spans="1:8">
      <c r="B19" s="5" t="str">
        <f>Setup!$B$7</f>
        <v>Mixted Doubles</v>
      </c>
      <c r="C19" s="19" t="str">
        <f>IF(Draw!H61="bye","", LEFT(Draw!H61,FIND(" ",Draw!H61)+1) &amp; " - " &amp; LEFT(Draw!H62,FIND(" ",Draw!H62)+1))</f>
        <v>ΨΥΧΑ Φ - ΑΝΤΩΝΑΚΟΣ Α</v>
      </c>
      <c r="D19" s="18" t="str">
        <f t="shared" si="0"/>
        <v>-</v>
      </c>
      <c r="E19" s="19" t="str">
        <f>IF(Draw!H63="bye","", LEFT(Draw!H63,FIND(" ",Draw!H63)+1) &amp; " - " &amp; LEFT(Draw!H64,FIND(" ",Draw!H64)+1))</f>
        <v>ΝΤΟΥΣΙΑ Σ - ΤΣΕΚΕΣ Χ</v>
      </c>
    </row>
    <row r="20" spans="1:8">
      <c r="B20" s="5" t="str">
        <f>Setup!$B$7</f>
        <v>Mixted Doubles</v>
      </c>
      <c r="C20" s="19" t="str">
        <f>IF(Draw!H65="bye","", LEFT(Draw!H65,FIND(" ",Draw!H65)+1) &amp; " - " &amp; LEFT(Draw!H66,FIND(" ",Draw!H66)+1))</f>
        <v/>
      </c>
      <c r="D20" s="18" t="str">
        <f t="shared" si="0"/>
        <v xml:space="preserve"> </v>
      </c>
      <c r="E20" s="19" t="str">
        <f>IF(Draw!H67="bye","", LEFT(Draw!H67,FIND(" ",Draw!H67)+1) &amp; " - " &amp; LEFT(Draw!H68,FIND(" ",Draw!H68)+1))</f>
        <v>ΚΑΛΤΕΖΙΩΤΗ Ε - ΤΖΙΝΗΣ Ν</v>
      </c>
    </row>
    <row r="21" spans="1:8">
      <c r="B21" s="16"/>
      <c r="C21" s="19"/>
      <c r="D21" s="18"/>
      <c r="E21" s="19"/>
    </row>
    <row r="22" spans="1:8">
      <c r="A22" s="3"/>
      <c r="B22" s="16"/>
      <c r="C22" s="11"/>
      <c r="D22" s="16"/>
      <c r="E22" s="11"/>
      <c r="F22" s="11"/>
      <c r="G22" s="11"/>
      <c r="H22" s="11"/>
    </row>
    <row r="23" spans="1:8">
      <c r="B23" s="5"/>
      <c r="C23" s="20"/>
      <c r="D23" s="17"/>
      <c r="E23" s="20"/>
    </row>
    <row r="24" spans="1:8" ht="18">
      <c r="A24" s="25" t="s">
        <v>24</v>
      </c>
      <c r="B24" s="26"/>
      <c r="C24" s="26"/>
      <c r="D24" s="26"/>
      <c r="E24" s="28" t="s">
        <v>25</v>
      </c>
    </row>
    <row r="25" spans="1:8">
      <c r="A25" s="4" t="s">
        <v>12</v>
      </c>
      <c r="B25" s="4" t="s">
        <v>46</v>
      </c>
      <c r="C25" s="30" t="s">
        <v>35</v>
      </c>
      <c r="D25" s="31"/>
      <c r="E25" s="36" t="s">
        <v>36</v>
      </c>
    </row>
    <row r="26" spans="1:8">
      <c r="A26" s="3" t="s">
        <v>13</v>
      </c>
      <c r="B26" s="5" t="str">
        <f>Setup!$B$7</f>
        <v>Mixted Doubles</v>
      </c>
      <c r="C26" s="20" t="str">
        <f>Draw!L5 &amp; " - " &amp; Draw!L6</f>
        <v>ΔΕΛΗ - ΚΟΥΡΟΥΝΙΩΤΗΣ</v>
      </c>
      <c r="D26" s="18" t="str">
        <f t="shared" ref="D26:D33" si="1">IF(OR(C26="",E26="")," ","-")</f>
        <v>-</v>
      </c>
      <c r="E26" s="34" t="str">
        <f>Draw!L9 &amp; " - " &amp; Draw!L10</f>
        <v xml:space="preserve"> - </v>
      </c>
    </row>
    <row r="27" spans="1:8">
      <c r="A27" s="3"/>
      <c r="B27" s="5" t="str">
        <f>Setup!$B$7</f>
        <v>Mixted Doubles</v>
      </c>
      <c r="C27" s="19" t="str">
        <f>Draw!L13 &amp; " - " &amp; Draw!L14</f>
        <v>ΜΠΑΛΤΑ - ΠΑΠΠΑΣ</v>
      </c>
      <c r="D27" s="18" t="str">
        <f t="shared" si="1"/>
        <v>-</v>
      </c>
      <c r="E27" s="35" t="str">
        <f>Draw!L17 &amp; " - " &amp; Draw!L18</f>
        <v>ΑΝΤΩΝΑΚΟΥ - ΚΕΦΑΛΩΝΙΤΗΣ</v>
      </c>
    </row>
    <row r="28" spans="1:8">
      <c r="A28" s="3"/>
      <c r="B28" s="5" t="str">
        <f>Setup!$B$7</f>
        <v>Mixted Doubles</v>
      </c>
      <c r="C28" s="19" t="str">
        <f>Draw!L21 &amp; " - " &amp; Draw!L22</f>
        <v>ΣΟΓΙΑ - ΠΑΝΑΓΙΩΤΟΠΟΥΛΟΣ</v>
      </c>
      <c r="D28" s="18" t="str">
        <f t="shared" si="1"/>
        <v>-</v>
      </c>
      <c r="E28" s="35" t="str">
        <f>Draw!L25 &amp; " - " &amp; Draw!L26</f>
        <v>ΣΤΕΦΑΝΟΥ - ΣΠΑΝΟΣ</v>
      </c>
    </row>
    <row r="29" spans="1:8">
      <c r="A29" s="3"/>
      <c r="B29" s="5" t="str">
        <f>Setup!$B$7</f>
        <v>Mixted Doubles</v>
      </c>
      <c r="C29" s="19" t="str">
        <f>Draw!L29 &amp; " - " &amp; Draw!L30</f>
        <v xml:space="preserve"> - </v>
      </c>
      <c r="D29" s="18" t="str">
        <f t="shared" si="1"/>
        <v>-</v>
      </c>
      <c r="E29" s="35" t="str">
        <f>Draw!L33 &amp; " - " &amp; Draw!L34</f>
        <v>ΣΤΑΥΡΟΠΟΥΛΟΥ - ΚΟΝΤΟΣ</v>
      </c>
    </row>
    <row r="30" spans="1:8">
      <c r="A30" s="3" t="s">
        <v>14</v>
      </c>
      <c r="B30" s="5" t="str">
        <f>Setup!$B$7</f>
        <v>Mixted Doubles</v>
      </c>
      <c r="C30" s="20" t="str">
        <f>Draw!L37 &amp; " - " &amp; Draw!L38</f>
        <v>ΑΝΤΩΝΟΠΟΥΛΟΥ - ΕΞΑΔΑΚΤΥΛΟΣ</v>
      </c>
      <c r="D30" s="18" t="str">
        <f t="shared" si="1"/>
        <v>-</v>
      </c>
      <c r="E30" s="34" t="str">
        <f>Draw!L41 &amp; " - " &amp; Draw!L42</f>
        <v>ΠΑΠΑΔΟΠΟΥΛΟΥ - ΒΛΑΧΟΣΠΥΡΟΣ</v>
      </c>
    </row>
    <row r="31" spans="1:8">
      <c r="B31" s="5" t="str">
        <f>Setup!$B$7</f>
        <v>Mixted Doubles</v>
      </c>
      <c r="C31" s="19" t="str">
        <f>Draw!L45 &amp; " - " &amp; Draw!L46</f>
        <v xml:space="preserve"> - </v>
      </c>
      <c r="D31" s="18" t="str">
        <f t="shared" si="1"/>
        <v>-</v>
      </c>
      <c r="E31" s="35" t="str">
        <f>Draw!L49 &amp; " - " &amp; Draw!L50</f>
        <v>ΣΟΥΡΛΙΓΚΑ - ΡΟΥΜΕΛΙΩΤΗΣ</v>
      </c>
    </row>
    <row r="32" spans="1:8">
      <c r="B32" s="5" t="str">
        <f>Setup!$B$7</f>
        <v>Mixted Doubles</v>
      </c>
      <c r="C32" s="19" t="str">
        <f>Draw!L53 &amp; " - " &amp; Draw!L54</f>
        <v>ΜΑΡΛΑΓΚΟΥΤΣΟΥ - ΠΡΙΟΒΟΛΟΣ</v>
      </c>
      <c r="D32" s="18" t="str">
        <f t="shared" si="1"/>
        <v>-</v>
      </c>
      <c r="E32" s="35" t="str">
        <f>Draw!L57 &amp; " - " &amp; Draw!L58</f>
        <v xml:space="preserve"> - </v>
      </c>
    </row>
    <row r="33" spans="2:5">
      <c r="B33" s="5" t="str">
        <f>Setup!$B$7</f>
        <v>Mixted Doubles</v>
      </c>
      <c r="C33" s="19" t="str">
        <f>Draw!L61 &amp; " - " &amp; Draw!L62</f>
        <v xml:space="preserve"> - </v>
      </c>
      <c r="D33" s="18" t="str">
        <f t="shared" si="1"/>
        <v>-</v>
      </c>
      <c r="E33" s="35" t="str">
        <f>Draw!L65 &amp; " - " &amp; Draw!L66</f>
        <v>ΚΑΛΤΕΖΙΩΤΗ - ΤΖΙΝΗΣ</v>
      </c>
    </row>
    <row r="34" spans="2:5">
      <c r="C34" s="11"/>
      <c r="D34" s="16"/>
      <c r="E34" s="11"/>
    </row>
    <row r="36" spans="2:5" ht="15.75">
      <c r="B36" s="33"/>
      <c r="C36" s="22" t="s">
        <v>26</v>
      </c>
      <c r="D36" s="33"/>
      <c r="E36" s="33"/>
    </row>
  </sheetData>
  <sheetProtection password="CF33" sheet="1" objects="1" scenarios="1" formatCells="0" formatColumns="0" formatRows="0"/>
  <mergeCells count="1">
    <mergeCell ref="A1:E1"/>
  </mergeCells>
  <phoneticPr fontId="1" type="noConversion"/>
  <printOptions horizontalCentered="1" gridLines="1"/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F14"/>
  <sheetViews>
    <sheetView zoomScaleNormal="100" workbookViewId="0">
      <selection sqref="A1:E1"/>
    </sheetView>
  </sheetViews>
  <sheetFormatPr defaultColWidth="8.85546875" defaultRowHeight="12"/>
  <cols>
    <col min="1" max="1" width="7.28515625" style="29" bestFit="1" customWidth="1"/>
    <col min="2" max="2" width="8.28515625" style="32" customWidth="1"/>
    <col min="3" max="3" width="38.7109375" style="24" customWidth="1"/>
    <col min="4" max="4" width="1.28515625" style="32" bestFit="1" customWidth="1"/>
    <col min="5" max="5" width="41.7109375" style="24" customWidth="1"/>
    <col min="6" max="16384" width="8.85546875" style="24"/>
  </cols>
  <sheetData>
    <row r="1" spans="1:6" s="21" customFormat="1" ht="18">
      <c r="A1" s="336" t="str">
        <f>Setup!$B$3 &amp; ", " &amp; Setup!$B$4 &amp; ", " &amp; Setup!$B$6 &amp; ", " &amp; Setup!$B$8 &amp; "-" &amp; Setup!$B$9</f>
        <v>Athlisis Tennis Club, 15th Open A.C. by F.Bozionelos S.A., , -</v>
      </c>
      <c r="B1" s="336"/>
      <c r="C1" s="336"/>
      <c r="D1" s="336"/>
      <c r="E1" s="336"/>
    </row>
    <row r="2" spans="1:6" ht="13.15" customHeight="1">
      <c r="A2" s="2" t="str">
        <f>CONCATENATE(Setup!B10,", ",Setup!B11)</f>
        <v xml:space="preserve">, </v>
      </c>
      <c r="B2" s="23"/>
      <c r="C2" s="23"/>
      <c r="D2" s="23"/>
      <c r="E2" s="23"/>
    </row>
    <row r="3" spans="1:6" s="21" customFormat="1" ht="18">
      <c r="A3" s="25" t="s">
        <v>24</v>
      </c>
      <c r="B3" s="26"/>
      <c r="C3" s="26"/>
      <c r="D3" s="27"/>
      <c r="E3" s="28" t="s">
        <v>34</v>
      </c>
    </row>
    <row r="4" spans="1:6">
      <c r="A4" s="4" t="s">
        <v>12</v>
      </c>
      <c r="B4" s="4" t="s">
        <v>46</v>
      </c>
      <c r="C4" s="30" t="s">
        <v>35</v>
      </c>
      <c r="D4" s="31"/>
      <c r="E4" s="36" t="s">
        <v>36</v>
      </c>
    </row>
    <row r="5" spans="1:6">
      <c r="A5" s="3" t="s">
        <v>13</v>
      </c>
      <c r="B5" s="5"/>
      <c r="C5" s="19"/>
      <c r="D5" s="18"/>
      <c r="E5" s="19"/>
    </row>
    <row r="6" spans="1:6">
      <c r="A6" s="3"/>
      <c r="B6" s="5"/>
      <c r="C6" s="19"/>
      <c r="D6" s="18"/>
      <c r="E6" s="19"/>
    </row>
    <row r="7" spans="1:6">
      <c r="A7" s="3"/>
      <c r="B7" s="5"/>
      <c r="C7" s="19"/>
      <c r="D7" s="18"/>
      <c r="E7" s="19"/>
    </row>
    <row r="8" spans="1:6">
      <c r="B8" s="5"/>
      <c r="C8" s="19"/>
      <c r="D8" s="18"/>
      <c r="E8" s="19"/>
    </row>
    <row r="9" spans="1:6">
      <c r="B9" s="5"/>
      <c r="C9" s="19"/>
      <c r="D9" s="18"/>
      <c r="E9" s="19"/>
    </row>
    <row r="10" spans="1:6">
      <c r="B10" s="5"/>
      <c r="C10" s="19"/>
      <c r="D10" s="18"/>
      <c r="E10" s="19"/>
    </row>
    <row r="11" spans="1:6">
      <c r="B11" s="5"/>
      <c r="C11" s="19"/>
      <c r="D11" s="18"/>
      <c r="E11" s="19"/>
    </row>
    <row r="12" spans="1:6">
      <c r="A12" s="3" t="s">
        <v>14</v>
      </c>
      <c r="B12" s="5"/>
      <c r="C12" s="19"/>
      <c r="D12" s="18"/>
      <c r="E12" s="19"/>
    </row>
    <row r="13" spans="1:6">
      <c r="B13" s="16"/>
      <c r="C13" s="19"/>
      <c r="D13" s="18"/>
      <c r="E13" s="19"/>
    </row>
    <row r="14" spans="1:6">
      <c r="A14" s="3"/>
      <c r="B14" s="16"/>
      <c r="C14" s="11"/>
      <c r="D14" s="16"/>
      <c r="E14" s="11"/>
      <c r="F14" s="11"/>
    </row>
  </sheetData>
  <mergeCells count="1">
    <mergeCell ref="A1:E1"/>
  </mergeCells>
  <phoneticPr fontId="1" type="noConversion"/>
  <printOptions horizontalCentered="1"/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/>
  <dimension ref="A1:E12"/>
  <sheetViews>
    <sheetView workbookViewId="0">
      <selection sqref="A1:E1"/>
    </sheetView>
  </sheetViews>
  <sheetFormatPr defaultRowHeight="12.75"/>
  <cols>
    <col min="1" max="1" width="7.28515625" bestFit="1" customWidth="1"/>
    <col min="2" max="2" width="7.7109375" customWidth="1"/>
    <col min="3" max="3" width="35.7109375" customWidth="1"/>
    <col min="4" max="4" width="1.28515625" bestFit="1" customWidth="1"/>
    <col min="5" max="5" width="35.7109375" customWidth="1"/>
  </cols>
  <sheetData>
    <row r="1" spans="1:5" ht="18">
      <c r="A1" s="336" t="str">
        <f>Setup!$B$3 &amp; ", " &amp; Setup!$B$4 &amp; ", " &amp; Setup!$B$6 &amp; ", " &amp; Setup!$B$8 &amp; "-" &amp; Setup!$B$9</f>
        <v>Athlisis Tennis Club, 15th Open A.C. by F.Bozionelos S.A., , -</v>
      </c>
      <c r="B1" s="336"/>
      <c r="C1" s="336"/>
      <c r="D1" s="336"/>
      <c r="E1" s="336"/>
    </row>
    <row r="2" spans="1:5">
      <c r="A2" s="2" t="str">
        <f>CONCATENATE(Setup!B10,", ",Setup!B11)</f>
        <v xml:space="preserve">, </v>
      </c>
      <c r="B2" s="23"/>
      <c r="C2" s="23"/>
      <c r="D2" s="23"/>
      <c r="E2" s="23"/>
    </row>
    <row r="3" spans="1:5" ht="18">
      <c r="A3" s="25" t="s">
        <v>24</v>
      </c>
      <c r="B3" s="26"/>
      <c r="C3" s="26"/>
      <c r="D3" s="27"/>
      <c r="E3" s="28" t="s">
        <v>25</v>
      </c>
    </row>
    <row r="4" spans="1:5">
      <c r="A4" s="4" t="s">
        <v>12</v>
      </c>
      <c r="B4" s="4" t="s">
        <v>46</v>
      </c>
      <c r="C4" s="30" t="s">
        <v>35</v>
      </c>
      <c r="D4" s="31"/>
      <c r="E4" s="36" t="s">
        <v>36</v>
      </c>
    </row>
    <row r="5" spans="1:5">
      <c r="A5" s="3" t="s">
        <v>13</v>
      </c>
      <c r="B5" s="5"/>
      <c r="C5" s="19"/>
      <c r="D5" s="18"/>
      <c r="E5" s="19"/>
    </row>
    <row r="6" spans="1:5">
      <c r="A6" s="3"/>
      <c r="B6" s="5"/>
      <c r="C6" s="19"/>
      <c r="D6" s="18"/>
      <c r="E6" s="19"/>
    </row>
    <row r="7" spans="1:5">
      <c r="A7" s="3"/>
      <c r="B7" s="5"/>
      <c r="C7" s="19"/>
      <c r="D7" s="18"/>
      <c r="E7" s="19"/>
    </row>
    <row r="8" spans="1:5">
      <c r="A8" s="29"/>
      <c r="B8" s="5"/>
      <c r="C8" s="19"/>
      <c r="D8" s="18"/>
      <c r="E8" s="19"/>
    </row>
    <row r="9" spans="1:5">
      <c r="A9" s="29"/>
      <c r="B9" s="5"/>
      <c r="C9" s="19"/>
      <c r="D9" s="18"/>
      <c r="E9" s="19"/>
    </row>
    <row r="10" spans="1:5">
      <c r="A10" s="29"/>
      <c r="B10" s="5"/>
      <c r="C10" s="19"/>
      <c r="D10" s="18"/>
      <c r="E10" s="19"/>
    </row>
    <row r="11" spans="1:5">
      <c r="A11" s="29"/>
      <c r="B11" s="5"/>
      <c r="C11" s="19"/>
      <c r="D11" s="18"/>
      <c r="E11" s="19"/>
    </row>
    <row r="12" spans="1:5">
      <c r="A12" s="3" t="s">
        <v>14</v>
      </c>
      <c r="B12" s="5"/>
      <c r="C12" s="19"/>
      <c r="D12" s="18"/>
      <c r="E12" s="19"/>
    </row>
  </sheetData>
  <mergeCells count="1">
    <mergeCell ref="A1:E1"/>
  </mergeCells>
  <phoneticPr fontId="1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9"/>
  <dimension ref="A1"/>
  <sheetViews>
    <sheetView workbookViewId="0"/>
  </sheetViews>
  <sheetFormatPr defaultColWidth="8.85546875" defaultRowHeight="12.75"/>
  <cols>
    <col min="1" max="16384" width="8.85546875" style="55"/>
  </cols>
  <sheetData/>
  <phoneticPr fontId="1" type="noConversion"/>
  <printOptions horizontalCentered="1" gridLines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5"/>
  <dimension ref="A1:H33"/>
  <sheetViews>
    <sheetView workbookViewId="0"/>
  </sheetViews>
  <sheetFormatPr defaultColWidth="8.85546875" defaultRowHeight="12"/>
  <cols>
    <col min="1" max="1" width="7.28515625" style="1" bestFit="1" customWidth="1"/>
    <col min="2" max="2" width="7.85546875" style="1" customWidth="1"/>
    <col min="3" max="3" width="10.5703125" style="1" customWidth="1"/>
    <col min="4" max="5" width="8.85546875" style="1"/>
    <col min="6" max="6" width="3.28515625" style="6" hidden="1" customWidth="1"/>
    <col min="7" max="7" width="4.7109375" style="6" hidden="1" customWidth="1"/>
    <col min="8" max="8" width="8.42578125" style="10" hidden="1" customWidth="1"/>
    <col min="9" max="16384" width="8.85546875" style="1"/>
  </cols>
  <sheetData>
    <row r="1" spans="1:8">
      <c r="A1" s="37" t="s">
        <v>37</v>
      </c>
      <c r="B1" s="38" t="s">
        <v>38</v>
      </c>
      <c r="C1" s="39" t="s">
        <v>39</v>
      </c>
      <c r="F1" s="46" t="s">
        <v>9</v>
      </c>
      <c r="G1" s="47" t="s">
        <v>10</v>
      </c>
      <c r="H1" s="48" t="s">
        <v>22</v>
      </c>
    </row>
    <row r="2" spans="1:8">
      <c r="A2" s="40">
        <v>1</v>
      </c>
      <c r="B2" s="41">
        <f ca="1">RAND()/22</f>
        <v>3.7402568671386277E-2</v>
      </c>
      <c r="C2" s="41">
        <v>2.6198798760925766E-2</v>
      </c>
      <c r="F2" s="7">
        <v>1</v>
      </c>
      <c r="G2" s="14">
        <v>1</v>
      </c>
      <c r="H2" s="48"/>
    </row>
    <row r="3" spans="1:8">
      <c r="A3" s="40">
        <v>2</v>
      </c>
      <c r="B3" s="41">
        <f ca="1">RAND()/22</f>
        <v>9.3001272021702563E-3</v>
      </c>
      <c r="C3" s="41">
        <v>3.0617463073082461E-2</v>
      </c>
      <c r="F3" s="8">
        <v>2</v>
      </c>
      <c r="G3" s="15"/>
      <c r="H3" s="50">
        <v>1</v>
      </c>
    </row>
    <row r="4" spans="1:8">
      <c r="A4" s="40">
        <v>3</v>
      </c>
      <c r="B4" s="41">
        <f ca="1">RAND()/22</f>
        <v>4.1984967923612657E-2</v>
      </c>
      <c r="C4" s="41">
        <v>1.1535467629168265E-2</v>
      </c>
      <c r="F4" s="44">
        <v>3</v>
      </c>
      <c r="G4" s="16"/>
      <c r="H4" s="49"/>
    </row>
    <row r="5" spans="1:8">
      <c r="A5" s="40">
        <v>4</v>
      </c>
      <c r="B5" s="41">
        <f ca="1">RAND()/22</f>
        <v>1.4067049126480491E-2</v>
      </c>
      <c r="C5" s="41">
        <v>3.9579390728901626E-2</v>
      </c>
      <c r="F5" s="44">
        <v>4</v>
      </c>
      <c r="G5" s="16"/>
      <c r="H5" s="49">
        <v>15</v>
      </c>
    </row>
    <row r="6" spans="1:8">
      <c r="A6" s="40">
        <v>5</v>
      </c>
      <c r="B6" s="41">
        <f t="shared" ref="B6:B33" ca="1" si="0">RAND()/22</f>
        <v>6.2044821594068218E-3</v>
      </c>
      <c r="C6" s="41">
        <v>5.9387378081924994E-4</v>
      </c>
      <c r="F6" s="7">
        <v>5</v>
      </c>
      <c r="G6" s="14"/>
      <c r="H6" s="51"/>
    </row>
    <row r="7" spans="1:8">
      <c r="A7" s="40">
        <v>6</v>
      </c>
      <c r="B7" s="41">
        <f t="shared" ca="1" si="0"/>
        <v>1.4272780241212812E-2</v>
      </c>
      <c r="C7" s="41">
        <v>2.2460007019242657E-2</v>
      </c>
      <c r="F7" s="8">
        <v>6</v>
      </c>
      <c r="G7" s="15"/>
      <c r="H7" s="50">
        <v>9</v>
      </c>
    </row>
    <row r="8" spans="1:8">
      <c r="A8" s="40">
        <v>7</v>
      </c>
      <c r="B8" s="41">
        <f t="shared" ca="1" si="0"/>
        <v>2.5848211679343105E-2</v>
      </c>
      <c r="C8" s="41">
        <v>3.8075877266657898E-2</v>
      </c>
      <c r="F8" s="44">
        <v>7</v>
      </c>
      <c r="G8" s="16"/>
      <c r="H8" s="49">
        <v>5</v>
      </c>
    </row>
    <row r="9" spans="1:8">
      <c r="A9" s="40">
        <v>8</v>
      </c>
      <c r="B9" s="41">
        <f t="shared" ca="1" si="0"/>
        <v>1.9943043793798632E-2</v>
      </c>
      <c r="C9" s="41">
        <v>4.4914501517617451E-2</v>
      </c>
      <c r="F9" s="44">
        <v>8</v>
      </c>
      <c r="G9" s="16">
        <v>5</v>
      </c>
      <c r="H9" s="49"/>
    </row>
    <row r="10" spans="1:8">
      <c r="A10" s="40">
        <v>9</v>
      </c>
      <c r="B10" s="41">
        <f t="shared" ca="1" si="0"/>
        <v>1.5251151654675449E-3</v>
      </c>
      <c r="C10" s="41">
        <v>3.9753020945392223E-2</v>
      </c>
      <c r="F10" s="12">
        <v>9</v>
      </c>
      <c r="G10" s="14">
        <v>3</v>
      </c>
      <c r="H10" s="51"/>
    </row>
    <row r="11" spans="1:8">
      <c r="A11" s="40">
        <v>10</v>
      </c>
      <c r="B11" s="41">
        <f t="shared" ca="1" si="0"/>
        <v>8.5271636786424798E-3</v>
      </c>
      <c r="C11" s="41">
        <v>4.2771756729202123E-2</v>
      </c>
      <c r="F11" s="9">
        <v>10</v>
      </c>
      <c r="G11" s="15"/>
      <c r="H11" s="50">
        <v>3</v>
      </c>
    </row>
    <row r="12" spans="1:8">
      <c r="A12" s="40">
        <v>11</v>
      </c>
      <c r="B12" s="41">
        <f t="shared" ca="1" si="0"/>
        <v>1.6062274488734044E-2</v>
      </c>
      <c r="C12" s="41">
        <v>3.973295780399045E-2</v>
      </c>
      <c r="F12" s="13">
        <v>11</v>
      </c>
      <c r="G12" s="16"/>
      <c r="H12" s="49"/>
    </row>
    <row r="13" spans="1:8">
      <c r="A13" s="40">
        <v>12</v>
      </c>
      <c r="B13" s="41">
        <f t="shared" ca="1" si="0"/>
        <v>7.0590561022735206E-3</v>
      </c>
      <c r="C13" s="41">
        <v>1.5533081188926262E-2</v>
      </c>
      <c r="F13" s="13">
        <v>12</v>
      </c>
      <c r="G13" s="16"/>
      <c r="H13" s="49">
        <v>13</v>
      </c>
    </row>
    <row r="14" spans="1:8">
      <c r="A14" s="40">
        <v>13</v>
      </c>
      <c r="B14" s="41">
        <f t="shared" ca="1" si="0"/>
        <v>1.92046487043518E-2</v>
      </c>
      <c r="C14" s="41">
        <v>2.3363912981247726E-2</v>
      </c>
      <c r="F14" s="12">
        <v>13</v>
      </c>
      <c r="G14" s="14"/>
      <c r="H14" s="51"/>
    </row>
    <row r="15" spans="1:8">
      <c r="A15" s="40">
        <v>14</v>
      </c>
      <c r="B15" s="41">
        <f t="shared" ca="1" si="0"/>
        <v>5.5125843763849805E-3</v>
      </c>
      <c r="C15" s="41">
        <v>2.7583173904474977E-2</v>
      </c>
      <c r="F15" s="9">
        <v>14</v>
      </c>
      <c r="G15" s="15"/>
      <c r="H15" s="50">
        <v>11</v>
      </c>
    </row>
    <row r="16" spans="1:8">
      <c r="A16" s="40">
        <v>15</v>
      </c>
      <c r="B16" s="41">
        <f t="shared" ca="1" si="0"/>
        <v>7.3337423238874839E-6</v>
      </c>
      <c r="C16" s="41">
        <v>3.3551971022517488E-2</v>
      </c>
      <c r="F16" s="13">
        <v>15</v>
      </c>
      <c r="G16" s="16"/>
      <c r="H16" s="49">
        <v>7</v>
      </c>
    </row>
    <row r="17" spans="1:8">
      <c r="A17" s="40">
        <v>16</v>
      </c>
      <c r="B17" s="41">
        <f t="shared" ca="1" si="0"/>
        <v>4.396624217846385E-2</v>
      </c>
      <c r="C17" s="41">
        <v>3.45005816164431E-2</v>
      </c>
      <c r="F17" s="13">
        <v>16</v>
      </c>
      <c r="G17" s="16">
        <v>6</v>
      </c>
      <c r="H17" s="49"/>
    </row>
    <row r="18" spans="1:8">
      <c r="A18" s="40">
        <v>17</v>
      </c>
      <c r="B18" s="41">
        <f t="shared" ca="1" si="0"/>
        <v>2.0246884233818131E-2</v>
      </c>
      <c r="C18" s="41">
        <v>2.1224859370518944E-2</v>
      </c>
      <c r="F18" s="7">
        <v>17</v>
      </c>
      <c r="G18" s="14">
        <v>7</v>
      </c>
      <c r="H18" s="51"/>
    </row>
    <row r="19" spans="1:8">
      <c r="A19" s="40">
        <v>18</v>
      </c>
      <c r="B19" s="41">
        <f t="shared" ca="1" si="0"/>
        <v>4.0322939347823975E-3</v>
      </c>
      <c r="C19" s="41">
        <v>7.3097378354874398E-3</v>
      </c>
      <c r="F19" s="8">
        <v>18</v>
      </c>
      <c r="G19" s="15"/>
      <c r="H19" s="50">
        <v>6</v>
      </c>
    </row>
    <row r="20" spans="1:8">
      <c r="A20" s="40">
        <v>19</v>
      </c>
      <c r="B20" s="41">
        <f t="shared" ca="1" si="0"/>
        <v>4.47441558775361E-2</v>
      </c>
      <c r="C20" s="41">
        <v>3.7465017235919072E-2</v>
      </c>
      <c r="F20" s="44">
        <v>19</v>
      </c>
      <c r="G20" s="16"/>
      <c r="H20" s="49"/>
    </row>
    <row r="21" spans="1:8">
      <c r="A21" s="40">
        <v>20</v>
      </c>
      <c r="B21" s="41">
        <f t="shared" ca="1" si="0"/>
        <v>4.1084404300128746E-2</v>
      </c>
      <c r="C21" s="41">
        <v>4.3042460719532133E-2</v>
      </c>
      <c r="F21" s="44">
        <v>20</v>
      </c>
      <c r="G21" s="16"/>
      <c r="H21" s="49">
        <v>12</v>
      </c>
    </row>
    <row r="22" spans="1:8">
      <c r="A22" s="40">
        <v>21</v>
      </c>
      <c r="B22" s="41">
        <f t="shared" ca="1" si="0"/>
        <v>5.6374153891000792E-3</v>
      </c>
      <c r="C22" s="41">
        <v>3.5540730129556358E-2</v>
      </c>
      <c r="F22" s="7">
        <v>21</v>
      </c>
      <c r="G22" s="14"/>
      <c r="H22" s="51"/>
    </row>
    <row r="23" spans="1:8">
      <c r="A23" s="40">
        <v>22</v>
      </c>
      <c r="B23" s="41">
        <f t="shared" ca="1" si="0"/>
        <v>3.7195979897625838E-3</v>
      </c>
      <c r="C23" s="41">
        <v>2.7953140105482711E-2</v>
      </c>
      <c r="F23" s="8">
        <v>22</v>
      </c>
      <c r="G23" s="15"/>
      <c r="H23" s="50">
        <v>14</v>
      </c>
    </row>
    <row r="24" spans="1:8">
      <c r="A24" s="40">
        <v>23</v>
      </c>
      <c r="B24" s="41">
        <f t="shared" ca="1" si="0"/>
        <v>2.0089590761492516E-2</v>
      </c>
      <c r="C24" s="41">
        <v>3.2035156376608705E-2</v>
      </c>
      <c r="F24" s="44">
        <v>23</v>
      </c>
      <c r="G24" s="16"/>
      <c r="H24" s="49">
        <v>4</v>
      </c>
    </row>
    <row r="25" spans="1:8">
      <c r="A25" s="40">
        <v>24</v>
      </c>
      <c r="B25" s="41">
        <f t="shared" ca="1" si="0"/>
        <v>2.2190636969784384E-2</v>
      </c>
      <c r="C25" s="41">
        <v>2.6614775036844042E-2</v>
      </c>
      <c r="F25" s="44">
        <v>24</v>
      </c>
      <c r="G25" s="16">
        <v>4</v>
      </c>
      <c r="H25" s="49"/>
    </row>
    <row r="26" spans="1:8">
      <c r="A26" s="40">
        <v>25</v>
      </c>
      <c r="B26" s="41">
        <f t="shared" ca="1" si="0"/>
        <v>2.6832136187701347E-2</v>
      </c>
      <c r="C26" s="41">
        <v>4.5168643328977992E-2</v>
      </c>
      <c r="F26" s="45">
        <v>25</v>
      </c>
      <c r="G26" s="14">
        <v>8</v>
      </c>
      <c r="H26" s="51"/>
    </row>
    <row r="27" spans="1:8">
      <c r="A27" s="40">
        <v>26</v>
      </c>
      <c r="B27" s="41">
        <f t="shared" ca="1" si="0"/>
        <v>2.2332255648929045E-2</v>
      </c>
      <c r="C27" s="41">
        <v>7.9044287410669038E-3</v>
      </c>
      <c r="F27" s="42">
        <v>26</v>
      </c>
      <c r="G27" s="15"/>
      <c r="H27" s="50">
        <v>8</v>
      </c>
    </row>
    <row r="28" spans="1:8">
      <c r="A28" s="40">
        <v>27</v>
      </c>
      <c r="B28" s="41">
        <f t="shared" ca="1" si="0"/>
        <v>4.0047715165482375E-2</v>
      </c>
      <c r="C28" s="41">
        <v>2.075586231838061E-2</v>
      </c>
      <c r="F28" s="40">
        <v>27</v>
      </c>
      <c r="G28" s="16"/>
      <c r="H28" s="49"/>
    </row>
    <row r="29" spans="1:8">
      <c r="A29" s="40">
        <v>28</v>
      </c>
      <c r="B29" s="41">
        <f t="shared" ca="1" si="0"/>
        <v>1.9846867271365764E-2</v>
      </c>
      <c r="C29" s="41">
        <v>2.9487050658454007E-2</v>
      </c>
      <c r="F29" s="40">
        <v>28</v>
      </c>
      <c r="G29" s="16"/>
      <c r="H29" s="49">
        <v>10</v>
      </c>
    </row>
    <row r="30" spans="1:8">
      <c r="A30" s="40">
        <v>29</v>
      </c>
      <c r="B30" s="41">
        <f t="shared" ca="1" si="0"/>
        <v>1.5374307781772319E-2</v>
      </c>
      <c r="C30" s="41">
        <v>3.8685432514343927E-2</v>
      </c>
      <c r="F30" s="45">
        <v>29</v>
      </c>
      <c r="G30" s="14"/>
      <c r="H30" s="51"/>
    </row>
    <row r="31" spans="1:8">
      <c r="A31" s="40">
        <v>30</v>
      </c>
      <c r="B31" s="41">
        <f t="shared" ca="1" si="0"/>
        <v>3.7818858737450285E-2</v>
      </c>
      <c r="C31" s="41">
        <v>4.1735526810376726E-2</v>
      </c>
      <c r="F31" s="42">
        <v>30</v>
      </c>
      <c r="G31" s="15"/>
      <c r="H31" s="50">
        <v>16</v>
      </c>
    </row>
    <row r="32" spans="1:8">
      <c r="A32" s="40">
        <v>31</v>
      </c>
      <c r="B32" s="41">
        <f t="shared" ca="1" si="0"/>
        <v>2.1611826597931524E-2</v>
      </c>
      <c r="C32" s="41">
        <v>2.3775990920508125E-2</v>
      </c>
      <c r="F32" s="40">
        <v>31</v>
      </c>
      <c r="G32" s="16"/>
      <c r="H32" s="49">
        <v>2</v>
      </c>
    </row>
    <row r="33" spans="1:8">
      <c r="A33" s="42">
        <v>32</v>
      </c>
      <c r="B33" s="43">
        <f t="shared" ca="1" si="0"/>
        <v>4.5129386806781399E-2</v>
      </c>
      <c r="C33" s="43">
        <v>3.0842783788019159E-2</v>
      </c>
      <c r="F33" s="9">
        <v>32</v>
      </c>
      <c r="G33" s="15">
        <v>2</v>
      </c>
      <c r="H33" s="50"/>
    </row>
  </sheetData>
  <phoneticPr fontId="1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8</vt:i4>
      </vt:variant>
      <vt:variant>
        <vt:lpstr>Περιοχές με ονόματα</vt:lpstr>
      </vt:variant>
      <vt:variant>
        <vt:i4>1</vt:i4>
      </vt:variant>
    </vt:vector>
  </HeadingPairs>
  <TitlesOfParts>
    <vt:vector size="9" baseType="lpstr">
      <vt:lpstr>Setup</vt:lpstr>
      <vt:lpstr>DrawPrep</vt:lpstr>
      <vt:lpstr>Draw</vt:lpstr>
      <vt:lpstr>PrgPrep</vt:lpstr>
      <vt:lpstr>Day1</vt:lpstr>
      <vt:lpstr>Day2</vt:lpstr>
      <vt:lpstr>notes</vt:lpstr>
      <vt:lpstr>tmp</vt:lpstr>
      <vt:lpstr>Draw!Print_Area</vt:lpstr>
    </vt:vector>
  </TitlesOfParts>
  <Company>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Tasos</cp:lastModifiedBy>
  <cp:lastPrinted>2023-07-13T15:30:31Z</cp:lastPrinted>
  <dcterms:created xsi:type="dcterms:W3CDTF">2011-03-03T12:31:09Z</dcterms:created>
  <dcterms:modified xsi:type="dcterms:W3CDTF">2023-07-21T12:32:39Z</dcterms:modified>
</cp:coreProperties>
</file>